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les\Support\! CATALOGs\CE MARKING\DoP\!USB\Excel\"/>
    </mc:Choice>
  </mc:AlternateContent>
  <xr:revisionPtr revIDLastSave="0" documentId="13_ncr:1_{AAC9AF39-7374-477C-9B89-59C51946B9CD}" xr6:coauthVersionLast="36" xr6:coauthVersionMax="47" xr10:uidLastSave="{00000000-0000-0000-0000-000000000000}"/>
  <bookViews>
    <workbookView xWindow="-120" yWindow="-120" windowWidth="25440" windowHeight="15270" tabRatio="496" xr2:uid="{00000000-000D-0000-FFFF-FFFF00000000}"/>
  </bookViews>
  <sheets>
    <sheet name="U Reference 2023" sheetId="4" r:id="rId1"/>
    <sheet name="Data" sheetId="2" r:id="rId2"/>
    <sheet name="Uw manually" sheetId="3" state="hidden" r:id="rId3"/>
  </sheets>
  <definedNames>
    <definedName name="Area_Frame">'Uw manually'!$B$6</definedName>
    <definedName name="Area_FrameSash">'Uw manually'!$B$2</definedName>
    <definedName name="Area_Glass_1">'Uw manually'!$B$17</definedName>
    <definedName name="Area_Glass_2">'Uw manually'!$B$19</definedName>
    <definedName name="Area_Glass_3">'Uw manually'!$B$21</definedName>
    <definedName name="Area_Mullion">'Uw manually'!$B$8</definedName>
    <definedName name="Area_Panel_1">'Uw manually'!$B$31</definedName>
    <definedName name="Area_Panel_2">'Uw manually'!$B$33</definedName>
    <definedName name="Area_Panel_3">'Uw manually'!$B$35</definedName>
    <definedName name="Area_SashMoveableMullionSash">'Uw manually'!$B$14</definedName>
    <definedName name="Area_SashMullion">'Uw manually'!$B$10</definedName>
    <definedName name="Area_SashMullionSash">'Uw manually'!$B$12</definedName>
    <definedName name="Area_ThresholdSash">'Uw manually'!$B$4</definedName>
    <definedName name="areaIGU">'Uw manually'!$B$17</definedName>
    <definedName name="areaWindow">'Uw manually'!$B$6</definedName>
    <definedName name="heightRefDoor">Data!$C$4</definedName>
    <definedName name="heightRefWindow">Data!$C$2</definedName>
    <definedName name="Length_Glass_1">'Uw manually'!$B$24</definedName>
    <definedName name="Length_Glass_2">'Uw manually'!$B$26</definedName>
    <definedName name="Length_Glass_3">'Uw manually'!$B$28</definedName>
    <definedName name="main_Area_frameSash">'U Reference 2023'!$D$2</definedName>
    <definedName name="main_Area_glass">'U Reference 2023'!$J$2</definedName>
    <definedName name="main_Area_mullion">'U Reference 2023'!$F$2</definedName>
    <definedName name="main_Area_thresholdSash">'U Reference 2023'!$H$2</definedName>
    <definedName name="main_Length_glass">'U Reference 2023'!$L$2</definedName>
    <definedName name="main_U_frameSash">'U Reference 2023'!$C$2</definedName>
    <definedName name="main_U_mullion">'U Reference 2023'!$E$2</definedName>
    <definedName name="main_U_thresholdSash">'U Reference 2023'!$G$2</definedName>
    <definedName name="psi_Al_coated_1k">Data!$C$7</definedName>
    <definedName name="psi_Al_coated_2k">Data!$C$8</definedName>
    <definedName name="psi_Al_uncoated_1k">Data!$C$5</definedName>
    <definedName name="psi_Al_uncoated_2k">Data!$C$6</definedName>
    <definedName name="Psi_Glass_1">'Uw manually'!$B$25</definedName>
    <definedName name="Psi_Glass_2">'Uw manually'!$B$27</definedName>
    <definedName name="Psi_Glass_3">'Uw manually'!$B$29</definedName>
    <definedName name="psi_swisspacer_ultimate_1k">Data!$C$9</definedName>
    <definedName name="psi_swisspacer_ultimate_2k">Data!$C$10</definedName>
    <definedName name="psiAlCoated_1k">Data!#REF!</definedName>
    <definedName name="psiAlCoated_2k">Data!#REF!</definedName>
    <definedName name="Rframe">'Uw manually'!$E$9</definedName>
    <definedName name="Rglass">'Uw manually'!$E$10</definedName>
    <definedName name="Rpanel">'Uw manually'!$E$21</definedName>
    <definedName name="Rwindow">'Uw manually'!$F$3</definedName>
    <definedName name="RwindowFormula">'Uw manually'!$H$9</definedName>
    <definedName name="system_selection">'U Reference 2023'!$B$2</definedName>
    <definedName name="U_Frame">'Uw manually'!$B$7</definedName>
    <definedName name="U_FrameSash">'Uw manually'!$B$3</definedName>
    <definedName name="U_Glass_1">'Uw manually'!$B$18</definedName>
    <definedName name="U_Glass_2">'Uw manually'!$B$20</definedName>
    <definedName name="U_Glass_3">'Uw manually'!$B$22</definedName>
    <definedName name="U_Mullion">'Uw manually'!$B$9</definedName>
    <definedName name="U_Panel_1">'Uw manually'!$B$32</definedName>
    <definedName name="U_Panel_2">'Uw manually'!$B$34</definedName>
    <definedName name="U_Panel_3">'Uw manually'!$B$36</definedName>
    <definedName name="U_SashMoveableMullionSash">'Uw manually'!$B$15</definedName>
    <definedName name="U_SashMullion">'Uw manually'!$B$11</definedName>
    <definedName name="U_SashMullionSash">'Uw manually'!$B$13</definedName>
    <definedName name="U_ThresholdSash">'Uw manually'!$B$5</definedName>
    <definedName name="Uwindow">'Uw manually'!$F$2</definedName>
    <definedName name="widthRefDoor">Data!$C$3</definedName>
    <definedName name="widthRefWindow">Data!$C$1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J2" i="4"/>
  <c r="AH17" i="2"/>
  <c r="AG13" i="2"/>
  <c r="AG21" i="2"/>
  <c r="AG2" i="2"/>
  <c r="AG3" i="2"/>
  <c r="G2" i="4"/>
  <c r="AF2" i="2"/>
  <c r="AF3" i="2"/>
  <c r="AF4" i="2"/>
  <c r="AF5" i="2"/>
  <c r="AF6" i="2"/>
  <c r="AF7" i="2"/>
  <c r="E2" i="4"/>
  <c r="C2" i="4"/>
  <c r="AD10" i="2"/>
  <c r="AD11" i="2"/>
  <c r="AD12" i="2"/>
  <c r="AD13" i="2"/>
  <c r="AD14" i="2"/>
  <c r="AD15" i="2"/>
  <c r="AD16" i="2"/>
  <c r="AD17" i="2"/>
  <c r="AD18" i="2"/>
  <c r="AD19" i="2"/>
  <c r="AD20" i="2"/>
  <c r="AD21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C10" i="2"/>
  <c r="AC11" i="2"/>
  <c r="AH11" i="2" s="1"/>
  <c r="AC12" i="2"/>
  <c r="AG12" i="2" s="1"/>
  <c r="AC13" i="2"/>
  <c r="AC14" i="2"/>
  <c r="AG14" i="2" s="1"/>
  <c r="AC15" i="2"/>
  <c r="AC16" i="2"/>
  <c r="AC17" i="2"/>
  <c r="AC18" i="2"/>
  <c r="AC19" i="2"/>
  <c r="AH19" i="2" s="1"/>
  <c r="AC20" i="2"/>
  <c r="AG20" i="2" s="1"/>
  <c r="AC21" i="2"/>
  <c r="AA10" i="2"/>
  <c r="AH10" i="2" s="1"/>
  <c r="AA11" i="2"/>
  <c r="AG11" i="2" s="1"/>
  <c r="AA12" i="2"/>
  <c r="AH12" i="2" s="1"/>
  <c r="AA13" i="2"/>
  <c r="AH13" i="2" s="1"/>
  <c r="AA14" i="2"/>
  <c r="AH14" i="2" s="1"/>
  <c r="AA15" i="2"/>
  <c r="AG15" i="2" s="1"/>
  <c r="AA16" i="2"/>
  <c r="AH16" i="2" s="1"/>
  <c r="AA17" i="2"/>
  <c r="AG17" i="2" s="1"/>
  <c r="AA18" i="2"/>
  <c r="AH18" i="2" s="1"/>
  <c r="AA19" i="2"/>
  <c r="AG19" i="2" s="1"/>
  <c r="AA20" i="2"/>
  <c r="AH20" i="2" s="1"/>
  <c r="AA21" i="2"/>
  <c r="AH21" i="2" s="1"/>
  <c r="Z10" i="2"/>
  <c r="Z11" i="2"/>
  <c r="Z12" i="2"/>
  <c r="Z13" i="2"/>
  <c r="Z14" i="2"/>
  <c r="Z15" i="2"/>
  <c r="Z16" i="2"/>
  <c r="Z17" i="2"/>
  <c r="Z18" i="2"/>
  <c r="Z19" i="2"/>
  <c r="Z20" i="2"/>
  <c r="Z21" i="2"/>
  <c r="Y10" i="2"/>
  <c r="Y11" i="2"/>
  <c r="Y12" i="2"/>
  <c r="Y13" i="2"/>
  <c r="Y14" i="2"/>
  <c r="Y15" i="2"/>
  <c r="Y16" i="2"/>
  <c r="Y17" i="2"/>
  <c r="Y18" i="2"/>
  <c r="Y19" i="2"/>
  <c r="Y20" i="2"/>
  <c r="Y21" i="2"/>
  <c r="X10" i="2"/>
  <c r="X11" i="2"/>
  <c r="X12" i="2"/>
  <c r="F2" i="4" s="1"/>
  <c r="X13" i="2"/>
  <c r="X14" i="2"/>
  <c r="X15" i="2"/>
  <c r="X16" i="2"/>
  <c r="X17" i="2"/>
  <c r="X18" i="2"/>
  <c r="X19" i="2"/>
  <c r="X20" i="2"/>
  <c r="X21" i="2"/>
  <c r="W10" i="2"/>
  <c r="W11" i="2"/>
  <c r="W12" i="2"/>
  <c r="W13" i="2"/>
  <c r="W14" i="2"/>
  <c r="W15" i="2"/>
  <c r="W16" i="2"/>
  <c r="W17" i="2"/>
  <c r="W18" i="2"/>
  <c r="W19" i="2"/>
  <c r="W20" i="2"/>
  <c r="W21" i="2"/>
  <c r="V10" i="2"/>
  <c r="V11" i="2"/>
  <c r="V12" i="2"/>
  <c r="V13" i="2"/>
  <c r="V14" i="2"/>
  <c r="V15" i="2"/>
  <c r="V16" i="2"/>
  <c r="V17" i="2"/>
  <c r="V18" i="2"/>
  <c r="V19" i="2"/>
  <c r="V20" i="2"/>
  <c r="V21" i="2"/>
  <c r="U10" i="2"/>
  <c r="U11" i="2"/>
  <c r="U12" i="2"/>
  <c r="U13" i="2"/>
  <c r="U14" i="2"/>
  <c r="U15" i="2"/>
  <c r="U16" i="2"/>
  <c r="U17" i="2"/>
  <c r="U18" i="2"/>
  <c r="U19" i="2"/>
  <c r="U20" i="2"/>
  <c r="U21" i="2"/>
  <c r="T10" i="2"/>
  <c r="T11" i="2"/>
  <c r="T12" i="2"/>
  <c r="T13" i="2"/>
  <c r="T14" i="2"/>
  <c r="T15" i="2"/>
  <c r="T16" i="2"/>
  <c r="T17" i="2"/>
  <c r="T18" i="2"/>
  <c r="T19" i="2"/>
  <c r="T20" i="2"/>
  <c r="T21" i="2"/>
  <c r="R10" i="2"/>
  <c r="R11" i="2"/>
  <c r="R12" i="2"/>
  <c r="R13" i="2"/>
  <c r="R14" i="2"/>
  <c r="R15" i="2"/>
  <c r="R16" i="2"/>
  <c r="R17" i="2"/>
  <c r="R18" i="2"/>
  <c r="R19" i="2"/>
  <c r="R20" i="2"/>
  <c r="R21" i="2"/>
  <c r="Q10" i="2"/>
  <c r="Q11" i="2"/>
  <c r="Q12" i="2"/>
  <c r="Q13" i="2"/>
  <c r="Q14" i="2"/>
  <c r="Q15" i="2"/>
  <c r="Q16" i="2"/>
  <c r="Q17" i="2"/>
  <c r="Q18" i="2"/>
  <c r="Q19" i="2"/>
  <c r="Q20" i="2"/>
  <c r="Q21" i="2"/>
  <c r="P10" i="2"/>
  <c r="P11" i="2"/>
  <c r="P12" i="2"/>
  <c r="P13" i="2"/>
  <c r="AE13" i="2" s="1"/>
  <c r="P14" i="2"/>
  <c r="P15" i="2"/>
  <c r="P16" i="2"/>
  <c r="P17" i="2"/>
  <c r="P18" i="2"/>
  <c r="P19" i="2"/>
  <c r="P20" i="2"/>
  <c r="P21" i="2"/>
  <c r="AE21" i="2" s="1"/>
  <c r="AB2" i="2"/>
  <c r="AB3" i="2"/>
  <c r="AB4" i="2"/>
  <c r="AB5" i="2"/>
  <c r="AB6" i="2"/>
  <c r="AB7" i="2"/>
  <c r="AA2" i="2"/>
  <c r="AH2" i="2" s="1"/>
  <c r="L2" i="4" s="1"/>
  <c r="AA3" i="2"/>
  <c r="AH3" i="2" s="1"/>
  <c r="AA4" i="2"/>
  <c r="AG4" i="2" s="1"/>
  <c r="AA5" i="2"/>
  <c r="AG5" i="2" s="1"/>
  <c r="AA6" i="2"/>
  <c r="AG6" i="2" s="1"/>
  <c r="AA7" i="2"/>
  <c r="AG7" i="2" s="1"/>
  <c r="W2" i="2"/>
  <c r="W3" i="2"/>
  <c r="W4" i="2"/>
  <c r="W5" i="2"/>
  <c r="W6" i="2"/>
  <c r="W7" i="2"/>
  <c r="V2" i="2"/>
  <c r="V3" i="2"/>
  <c r="V4" i="2"/>
  <c r="V5" i="2"/>
  <c r="V6" i="2"/>
  <c r="V7" i="2"/>
  <c r="U2" i="2"/>
  <c r="U3" i="2"/>
  <c r="U4" i="2"/>
  <c r="U5" i="2"/>
  <c r="U6" i="2"/>
  <c r="U7" i="2"/>
  <c r="T2" i="2"/>
  <c r="T3" i="2"/>
  <c r="T4" i="2"/>
  <c r="T5" i="2"/>
  <c r="T6" i="2"/>
  <c r="T7" i="2"/>
  <c r="P2" i="2"/>
  <c r="P3" i="2"/>
  <c r="P4" i="2"/>
  <c r="P5" i="2"/>
  <c r="P6" i="2"/>
  <c r="P7" i="2"/>
  <c r="S2" i="2"/>
  <c r="S3" i="2"/>
  <c r="S4" i="2"/>
  <c r="S5" i="2"/>
  <c r="S6" i="2"/>
  <c r="S7" i="2"/>
  <c r="Q2" i="2"/>
  <c r="Q3" i="2"/>
  <c r="Q4" i="2"/>
  <c r="Q5" i="2"/>
  <c r="Q6" i="2"/>
  <c r="Q7" i="2"/>
  <c r="R2" i="2"/>
  <c r="R3" i="2"/>
  <c r="R4" i="2"/>
  <c r="R5" i="2"/>
  <c r="R6" i="2"/>
  <c r="R7" i="2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J7" i="4"/>
  <c r="L7" i="4" s="1"/>
  <c r="J97" i="4"/>
  <c r="J96" i="4"/>
  <c r="J95" i="4"/>
  <c r="J94" i="4"/>
  <c r="J92" i="4"/>
  <c r="J91" i="4"/>
  <c r="J87" i="4"/>
  <c r="L87" i="4" s="1"/>
  <c r="J86" i="4"/>
  <c r="L86" i="4" s="1"/>
  <c r="J84" i="4"/>
  <c r="L84" i="4" s="1"/>
  <c r="J83" i="4"/>
  <c r="L83" i="4" s="1"/>
  <c r="J82" i="4"/>
  <c r="L82" i="4" s="1"/>
  <c r="J81" i="4"/>
  <c r="L81" i="4" s="1"/>
  <c r="J80" i="4"/>
  <c r="L80" i="4" s="1"/>
  <c r="J79" i="4"/>
  <c r="L79" i="4" s="1"/>
  <c r="J78" i="4"/>
  <c r="L78" i="4" s="1"/>
  <c r="J77" i="4"/>
  <c r="L77" i="4" s="1"/>
  <c r="J76" i="4"/>
  <c r="L76" i="4" s="1"/>
  <c r="J75" i="4"/>
  <c r="L75" i="4" s="1"/>
  <c r="J74" i="4"/>
  <c r="L74" i="4" s="1"/>
  <c r="J73" i="4"/>
  <c r="L73" i="4" s="1"/>
  <c r="J71" i="4"/>
  <c r="L71" i="4" s="1"/>
  <c r="J70" i="4"/>
  <c r="L70" i="4" s="1"/>
  <c r="J69" i="4"/>
  <c r="L69" i="4" s="1"/>
  <c r="J68" i="4"/>
  <c r="L68" i="4" s="1"/>
  <c r="J67" i="4"/>
  <c r="L67" i="4" s="1"/>
  <c r="J66" i="4"/>
  <c r="L66" i="4" s="1"/>
  <c r="J65" i="4"/>
  <c r="L65" i="4" s="1"/>
  <c r="J64" i="4"/>
  <c r="L64" i="4" s="1"/>
  <c r="J63" i="4"/>
  <c r="L63" i="4" s="1"/>
  <c r="J62" i="4"/>
  <c r="L62" i="4" s="1"/>
  <c r="J61" i="4"/>
  <c r="L61" i="4" s="1"/>
  <c r="J60" i="4"/>
  <c r="L60" i="4" s="1"/>
  <c r="J59" i="4"/>
  <c r="L59" i="4" s="1"/>
  <c r="J58" i="4"/>
  <c r="L58" i="4" s="1"/>
  <c r="J57" i="4"/>
  <c r="L57" i="4" s="1"/>
  <c r="J56" i="4"/>
  <c r="L56" i="4" s="1"/>
  <c r="J55" i="4"/>
  <c r="L55" i="4" s="1"/>
  <c r="J54" i="4"/>
  <c r="L54" i="4" s="1"/>
  <c r="J53" i="4"/>
  <c r="L53" i="4" s="1"/>
  <c r="J52" i="4"/>
  <c r="L52" i="4" s="1"/>
  <c r="J51" i="4"/>
  <c r="L51" i="4" s="1"/>
  <c r="J50" i="4"/>
  <c r="L50" i="4" s="1"/>
  <c r="J49" i="4"/>
  <c r="L49" i="4" s="1"/>
  <c r="J48" i="4"/>
  <c r="L48" i="4" s="1"/>
  <c r="J47" i="4"/>
  <c r="L47" i="4" s="1"/>
  <c r="J46" i="4"/>
  <c r="L46" i="4" s="1"/>
  <c r="J45" i="4"/>
  <c r="L45" i="4" s="1"/>
  <c r="J44" i="4"/>
  <c r="L44" i="4" s="1"/>
  <c r="J43" i="4"/>
  <c r="L43" i="4" s="1"/>
  <c r="J42" i="4"/>
  <c r="L42" i="4" s="1"/>
  <c r="J41" i="4"/>
  <c r="L41" i="4" s="1"/>
  <c r="J40" i="4"/>
  <c r="L40" i="4" s="1"/>
  <c r="J39" i="4"/>
  <c r="L39" i="4" s="1"/>
  <c r="J38" i="4"/>
  <c r="L38" i="4" s="1"/>
  <c r="J37" i="4"/>
  <c r="L37" i="4" s="1"/>
  <c r="J36" i="4"/>
  <c r="L36" i="4" s="1"/>
  <c r="J35" i="4"/>
  <c r="L35" i="4" s="1"/>
  <c r="J34" i="4"/>
  <c r="L34" i="4" s="1"/>
  <c r="J33" i="4"/>
  <c r="L33" i="4" s="1"/>
  <c r="J32" i="4"/>
  <c r="L32" i="4" s="1"/>
  <c r="J31" i="4"/>
  <c r="L31" i="4" s="1"/>
  <c r="J30" i="4"/>
  <c r="L30" i="4" s="1"/>
  <c r="J29" i="4"/>
  <c r="L29" i="4" s="1"/>
  <c r="J28" i="4"/>
  <c r="L28" i="4" s="1"/>
  <c r="J27" i="4"/>
  <c r="L27" i="4" s="1"/>
  <c r="J26" i="4"/>
  <c r="L26" i="4" s="1"/>
  <c r="J25" i="4"/>
  <c r="L25" i="4" s="1"/>
  <c r="J24" i="4"/>
  <c r="L24" i="4" s="1"/>
  <c r="J23" i="4"/>
  <c r="L23" i="4" s="1"/>
  <c r="J22" i="4"/>
  <c r="L22" i="4" s="1"/>
  <c r="J21" i="4"/>
  <c r="L21" i="4" s="1"/>
  <c r="J20" i="4"/>
  <c r="L20" i="4" s="1"/>
  <c r="J19" i="4"/>
  <c r="L19" i="4" s="1"/>
  <c r="J18" i="4"/>
  <c r="L18" i="4" s="1"/>
  <c r="J17" i="4"/>
  <c r="L17" i="4" s="1"/>
  <c r="J16" i="4"/>
  <c r="L16" i="4" s="1"/>
  <c r="J15" i="4"/>
  <c r="L15" i="4" s="1"/>
  <c r="J14" i="4"/>
  <c r="L14" i="4" s="1"/>
  <c r="J13" i="4"/>
  <c r="L13" i="4" s="1"/>
  <c r="J12" i="4"/>
  <c r="L12" i="4" s="1"/>
  <c r="J11" i="4"/>
  <c r="L11" i="4" s="1"/>
  <c r="J10" i="4"/>
  <c r="L10" i="4" s="1"/>
  <c r="J9" i="4"/>
  <c r="L9" i="4" s="1"/>
  <c r="J8" i="4"/>
  <c r="L8" i="4" s="1"/>
  <c r="AH7" i="2" l="1"/>
  <c r="AH15" i="2"/>
  <c r="AE5" i="2"/>
  <c r="AH6" i="2"/>
  <c r="AG18" i="2"/>
  <c r="AG10" i="2"/>
  <c r="AE4" i="2"/>
  <c r="AE20" i="2"/>
  <c r="AH5" i="2"/>
  <c r="AH4" i="2"/>
  <c r="AG16" i="2"/>
  <c r="AE15" i="2"/>
  <c r="AE19" i="2"/>
  <c r="AE11" i="2"/>
  <c r="AE18" i="2"/>
  <c r="AE10" i="2"/>
  <c r="AE3" i="2"/>
  <c r="AE2" i="2"/>
  <c r="AE7" i="2"/>
  <c r="AE6" i="2"/>
  <c r="AF20" i="2"/>
  <c r="AF12" i="2"/>
  <c r="H2" i="4" s="1"/>
  <c r="M68" i="4" s="1"/>
  <c r="AF19" i="2"/>
  <c r="AF11" i="2"/>
  <c r="AF10" i="2"/>
  <c r="AE17" i="2"/>
  <c r="AF17" i="2"/>
  <c r="AF16" i="2"/>
  <c r="AF15" i="2"/>
  <c r="AF18" i="2"/>
  <c r="AE16" i="2"/>
  <c r="AE14" i="2"/>
  <c r="AF14" i="2"/>
  <c r="AF21" i="2"/>
  <c r="AF13" i="2"/>
  <c r="D2" i="4"/>
  <c r="AE12" i="2"/>
  <c r="F2" i="3"/>
  <c r="O72" i="4" l="1"/>
  <c r="P5" i="4"/>
  <c r="O7" i="4"/>
  <c r="U7" i="4" s="1"/>
  <c r="P61" i="4"/>
  <c r="V61" i="4" s="1"/>
  <c r="O88" i="4"/>
  <c r="O71" i="4"/>
  <c r="O44" i="4"/>
  <c r="O94" i="4"/>
  <c r="U94" i="4" s="1"/>
  <c r="P21" i="4"/>
  <c r="V21" i="4" s="1"/>
  <c r="O56" i="4"/>
  <c r="U56" i="4" s="1"/>
  <c r="O58" i="4"/>
  <c r="U58" i="4" s="1"/>
  <c r="P40" i="4"/>
  <c r="V40" i="4" s="1"/>
  <c r="O63" i="4"/>
  <c r="U63" i="4" s="1"/>
  <c r="P69" i="4"/>
  <c r="V69" i="4" s="1"/>
  <c r="O68" i="4"/>
  <c r="U68" i="4" s="1"/>
  <c r="P95" i="4"/>
  <c r="V95" i="4" s="1"/>
  <c r="P45" i="4"/>
  <c r="V45" i="4" s="1"/>
  <c r="O48" i="4"/>
  <c r="U48" i="4" s="1"/>
  <c r="O82" i="4"/>
  <c r="U82" i="4" s="1"/>
  <c r="P64" i="4"/>
  <c r="V64" i="4" s="1"/>
  <c r="P74" i="4"/>
  <c r="V74" i="4" s="1"/>
  <c r="P93" i="4"/>
  <c r="V93" i="4" s="1"/>
  <c r="O92" i="4"/>
  <c r="U92" i="4" s="1"/>
  <c r="O31" i="4"/>
  <c r="U31" i="4" s="1"/>
  <c r="O39" i="4"/>
  <c r="U39" i="4" s="1"/>
  <c r="P11" i="4"/>
  <c r="O24" i="4"/>
  <c r="U24" i="4" s="1"/>
  <c r="P88" i="4"/>
  <c r="V88" i="4" s="1"/>
  <c r="O96" i="4"/>
  <c r="U96" i="4" s="1"/>
  <c r="O18" i="4"/>
  <c r="U18" i="4" s="1"/>
  <c r="O70" i="4"/>
  <c r="U70" i="4" s="1"/>
  <c r="O79" i="4"/>
  <c r="U79" i="4" s="1"/>
  <c r="O50" i="4"/>
  <c r="P35" i="4"/>
  <c r="V35" i="4" s="1"/>
  <c r="P14" i="4"/>
  <c r="V14" i="4" s="1"/>
  <c r="O13" i="4"/>
  <c r="U13" i="4" s="1"/>
  <c r="P19" i="4"/>
  <c r="V19" i="4" s="1"/>
  <c r="O42" i="4"/>
  <c r="U42" i="4" s="1"/>
  <c r="O95" i="4"/>
  <c r="U95" i="4" s="1"/>
  <c r="P85" i="4"/>
  <c r="V85" i="4" s="1"/>
  <c r="P16" i="4"/>
  <c r="V16" i="4" s="1"/>
  <c r="O5" i="4"/>
  <c r="U5" i="4" s="1"/>
  <c r="O53" i="4"/>
  <c r="U53" i="4" s="1"/>
  <c r="P59" i="4"/>
  <c r="V59" i="4" s="1"/>
  <c r="P38" i="4"/>
  <c r="V38" i="4" s="1"/>
  <c r="O37" i="4"/>
  <c r="U37" i="4" s="1"/>
  <c r="P43" i="4"/>
  <c r="V43" i="4" s="1"/>
  <c r="O66" i="4"/>
  <c r="U66" i="4" s="1"/>
  <c r="O25" i="4"/>
  <c r="U25" i="4" s="1"/>
  <c r="P27" i="4"/>
  <c r="P32" i="4"/>
  <c r="V32" i="4" s="1"/>
  <c r="O26" i="4"/>
  <c r="U26" i="4" s="1"/>
  <c r="O98" i="4"/>
  <c r="U98" i="4" s="1"/>
  <c r="O77" i="4"/>
  <c r="P83" i="4"/>
  <c r="V83" i="4" s="1"/>
  <c r="P62" i="4"/>
  <c r="V62" i="4" s="1"/>
  <c r="O61" i="4"/>
  <c r="U61" i="4" s="1"/>
  <c r="P67" i="4"/>
  <c r="V67" i="4" s="1"/>
  <c r="O90" i="4"/>
  <c r="U90" i="4" s="1"/>
  <c r="P24" i="4"/>
  <c r="V24" i="4" s="1"/>
  <c r="O100" i="4"/>
  <c r="U100" i="4" s="1"/>
  <c r="P8" i="4"/>
  <c r="V8" i="4" s="1"/>
  <c r="P77" i="4"/>
  <c r="V77" i="4" s="1"/>
  <c r="P80" i="4"/>
  <c r="V80" i="4" s="1"/>
  <c r="P30" i="4"/>
  <c r="V30" i="4" s="1"/>
  <c r="P54" i="4"/>
  <c r="V54" i="4" s="1"/>
  <c r="O80" i="4"/>
  <c r="U80" i="4" s="1"/>
  <c r="O8" i="4"/>
  <c r="U8" i="4" s="1"/>
  <c r="P86" i="4"/>
  <c r="V86" i="4" s="1"/>
  <c r="O85" i="4"/>
  <c r="U85" i="4" s="1"/>
  <c r="P91" i="4"/>
  <c r="V91" i="4" s="1"/>
  <c r="O91" i="4"/>
  <c r="U91" i="4" s="1"/>
  <c r="P48" i="4"/>
  <c r="V48" i="4" s="1"/>
  <c r="P66" i="4"/>
  <c r="O20" i="4"/>
  <c r="U20" i="4" s="1"/>
  <c r="P56" i="4"/>
  <c r="V56" i="4" s="1"/>
  <c r="O29" i="4"/>
  <c r="U29" i="4" s="1"/>
  <c r="P78" i="4"/>
  <c r="V78" i="4" s="1"/>
  <c r="P9" i="4"/>
  <c r="V9" i="4" s="1"/>
  <c r="O32" i="4"/>
  <c r="U32" i="4" s="1"/>
  <c r="O11" i="4"/>
  <c r="U11" i="4" s="1"/>
  <c r="O46" i="4"/>
  <c r="U46" i="4" s="1"/>
  <c r="O16" i="4"/>
  <c r="U16" i="4" s="1"/>
  <c r="O47" i="4"/>
  <c r="U47" i="4" s="1"/>
  <c r="P72" i="4"/>
  <c r="V72" i="4" s="1"/>
  <c r="P71" i="4"/>
  <c r="V71" i="4" s="1"/>
  <c r="O15" i="4"/>
  <c r="U15" i="4" s="1"/>
  <c r="O27" i="4"/>
  <c r="U27" i="4" s="1"/>
  <c r="P33" i="4"/>
  <c r="V33" i="4" s="1"/>
  <c r="O97" i="4"/>
  <c r="U97" i="4" s="1"/>
  <c r="O35" i="4"/>
  <c r="U35" i="4" s="1"/>
  <c r="P75" i="4"/>
  <c r="V75" i="4" s="1"/>
  <c r="O40" i="4"/>
  <c r="U40" i="4" s="1"/>
  <c r="P52" i="4"/>
  <c r="V52" i="4" s="1"/>
  <c r="P96" i="4"/>
  <c r="V96" i="4" s="1"/>
  <c r="P90" i="4"/>
  <c r="V90" i="4" s="1"/>
  <c r="O34" i="4"/>
  <c r="U34" i="4" s="1"/>
  <c r="O74" i="4"/>
  <c r="U74" i="4" s="1"/>
  <c r="P6" i="4"/>
  <c r="V6" i="4" s="1"/>
  <c r="O51" i="4"/>
  <c r="U51" i="4" s="1"/>
  <c r="P57" i="4"/>
  <c r="V57" i="4" s="1"/>
  <c r="P12" i="4"/>
  <c r="V12" i="4" s="1"/>
  <c r="O59" i="4"/>
  <c r="U59" i="4" s="1"/>
  <c r="P17" i="4"/>
  <c r="V17" i="4" s="1"/>
  <c r="O64" i="4"/>
  <c r="U64" i="4" s="1"/>
  <c r="P22" i="4"/>
  <c r="V22" i="4" s="1"/>
  <c r="O21" i="4"/>
  <c r="U21" i="4" s="1"/>
  <c r="P29" i="4"/>
  <c r="V29" i="4" s="1"/>
  <c r="P81" i="4"/>
  <c r="V81" i="4" s="1"/>
  <c r="P36" i="4"/>
  <c r="V36" i="4" s="1"/>
  <c r="O83" i="4"/>
  <c r="U83" i="4" s="1"/>
  <c r="P41" i="4"/>
  <c r="V41" i="4" s="1"/>
  <c r="P26" i="4"/>
  <c r="V26" i="4" s="1"/>
  <c r="P46" i="4"/>
  <c r="V46" i="4" s="1"/>
  <c r="O45" i="4"/>
  <c r="U45" i="4" s="1"/>
  <c r="P60" i="4"/>
  <c r="V60" i="4" s="1"/>
  <c r="P99" i="4"/>
  <c r="V99" i="4" s="1"/>
  <c r="P65" i="4"/>
  <c r="V65" i="4" s="1"/>
  <c r="P28" i="4"/>
  <c r="V28" i="4" s="1"/>
  <c r="P70" i="4"/>
  <c r="V70" i="4" s="1"/>
  <c r="O69" i="4"/>
  <c r="U69" i="4" s="1"/>
  <c r="O99" i="4"/>
  <c r="U99" i="4" s="1"/>
  <c r="O30" i="4"/>
  <c r="U30" i="4" s="1"/>
  <c r="P84" i="4"/>
  <c r="V84" i="4" s="1"/>
  <c r="P15" i="4"/>
  <c r="V15" i="4" s="1"/>
  <c r="P89" i="4"/>
  <c r="V89" i="4" s="1"/>
  <c r="P20" i="4"/>
  <c r="V20" i="4" s="1"/>
  <c r="P94" i="4"/>
  <c r="V94" i="4" s="1"/>
  <c r="O93" i="4"/>
  <c r="U93" i="4" s="1"/>
  <c r="O6" i="4"/>
  <c r="U6" i="4" s="1"/>
  <c r="O54" i="4"/>
  <c r="U54" i="4" s="1"/>
  <c r="O9" i="4"/>
  <c r="U9" i="4" s="1"/>
  <c r="P39" i="4"/>
  <c r="V39" i="4" s="1"/>
  <c r="O14" i="4"/>
  <c r="U14" i="4" s="1"/>
  <c r="P44" i="4"/>
  <c r="V44" i="4" s="1"/>
  <c r="O19" i="4"/>
  <c r="U19" i="4" s="1"/>
  <c r="O22" i="4"/>
  <c r="U22" i="4" s="1"/>
  <c r="O10" i="4"/>
  <c r="U10" i="4" s="1"/>
  <c r="P31" i="4"/>
  <c r="V31" i="4" s="1"/>
  <c r="O78" i="4"/>
  <c r="U78" i="4" s="1"/>
  <c r="O33" i="4"/>
  <c r="U33" i="4" s="1"/>
  <c r="P63" i="4"/>
  <c r="V63" i="4" s="1"/>
  <c r="O38" i="4"/>
  <c r="U38" i="4" s="1"/>
  <c r="P68" i="4"/>
  <c r="V68" i="4" s="1"/>
  <c r="O43" i="4"/>
  <c r="U43" i="4" s="1"/>
  <c r="P51" i="4"/>
  <c r="V51" i="4" s="1"/>
  <c r="O55" i="4"/>
  <c r="U55" i="4" s="1"/>
  <c r="O57" i="4"/>
  <c r="U57" i="4" s="1"/>
  <c r="P87" i="4"/>
  <c r="V87" i="4" s="1"/>
  <c r="O62" i="4"/>
  <c r="U62" i="4" s="1"/>
  <c r="P92" i="4"/>
  <c r="V92" i="4" s="1"/>
  <c r="O67" i="4"/>
  <c r="U67" i="4" s="1"/>
  <c r="P25" i="4"/>
  <c r="V25" i="4" s="1"/>
  <c r="P98" i="4"/>
  <c r="V98" i="4" s="1"/>
  <c r="P7" i="4"/>
  <c r="V7" i="4" s="1"/>
  <c r="P79" i="4"/>
  <c r="V79" i="4" s="1"/>
  <c r="P10" i="4"/>
  <c r="V10" i="4" s="1"/>
  <c r="O81" i="4"/>
  <c r="U81" i="4" s="1"/>
  <c r="O12" i="4"/>
  <c r="U12" i="4" s="1"/>
  <c r="O86" i="4"/>
  <c r="U86" i="4" s="1"/>
  <c r="O17" i="4"/>
  <c r="U17" i="4" s="1"/>
  <c r="O23" i="4"/>
  <c r="U23" i="4" s="1"/>
  <c r="P49" i="4"/>
  <c r="V49" i="4" s="1"/>
  <c r="P53" i="4"/>
  <c r="V53" i="4" s="1"/>
  <c r="P76" i="4"/>
  <c r="V76" i="4" s="1"/>
  <c r="O28" i="4"/>
  <c r="U28" i="4" s="1"/>
  <c r="P34" i="4"/>
  <c r="V34" i="4" s="1"/>
  <c r="P100" i="4"/>
  <c r="V100" i="4" s="1"/>
  <c r="O36" i="4"/>
  <c r="U36" i="4" s="1"/>
  <c r="O87" i="4"/>
  <c r="O41" i="4"/>
  <c r="U41" i="4" s="1"/>
  <c r="O49" i="4"/>
  <c r="U49" i="4" s="1"/>
  <c r="P73" i="4"/>
  <c r="V73" i="4" s="1"/>
  <c r="O75" i="4"/>
  <c r="U75" i="4" s="1"/>
  <c r="P55" i="4"/>
  <c r="V55" i="4" s="1"/>
  <c r="O52" i="4"/>
  <c r="U52" i="4" s="1"/>
  <c r="P58" i="4"/>
  <c r="V58" i="4" s="1"/>
  <c r="P13" i="4"/>
  <c r="V13" i="4" s="1"/>
  <c r="O60" i="4"/>
  <c r="U60" i="4" s="1"/>
  <c r="P18" i="4"/>
  <c r="V18" i="4" s="1"/>
  <c r="O65" i="4"/>
  <c r="U65" i="4" s="1"/>
  <c r="P23" i="4"/>
  <c r="V23" i="4" s="1"/>
  <c r="P97" i="4"/>
  <c r="V97" i="4" s="1"/>
  <c r="O73" i="4"/>
  <c r="U73" i="4" s="1"/>
  <c r="P50" i="4"/>
  <c r="V50" i="4" s="1"/>
  <c r="O76" i="4"/>
  <c r="U76" i="4" s="1"/>
  <c r="P82" i="4"/>
  <c r="V82" i="4" s="1"/>
  <c r="P37" i="4"/>
  <c r="V37" i="4" s="1"/>
  <c r="O84" i="4"/>
  <c r="U84" i="4" s="1"/>
  <c r="P42" i="4"/>
  <c r="V42" i="4" s="1"/>
  <c r="O89" i="4"/>
  <c r="U89" i="4" s="1"/>
  <c r="P47" i="4"/>
  <c r="V47" i="4" s="1"/>
  <c r="V5" i="4"/>
  <c r="U87" i="4"/>
  <c r="V11" i="4"/>
  <c r="V27" i="4"/>
  <c r="U88" i="4"/>
  <c r="U77" i="4"/>
  <c r="U44" i="4"/>
  <c r="U50" i="4"/>
  <c r="U71" i="4"/>
  <c r="U72" i="4"/>
  <c r="V66" i="4"/>
  <c r="N5" i="4"/>
  <c r="N85" i="4"/>
  <c r="N59" i="4"/>
  <c r="N9" i="4"/>
  <c r="M99" i="4"/>
  <c r="N61" i="4"/>
  <c r="N35" i="4"/>
  <c r="N76" i="4"/>
  <c r="M93" i="4"/>
  <c r="N75" i="4"/>
  <c r="N37" i="4"/>
  <c r="N11" i="4"/>
  <c r="M94" i="4"/>
  <c r="M41" i="4"/>
  <c r="N15" i="4"/>
  <c r="N13" i="4"/>
  <c r="M98" i="4"/>
  <c r="M17" i="4"/>
  <c r="M87" i="4"/>
  <c r="N27" i="4"/>
  <c r="N28" i="4"/>
  <c r="M91" i="4"/>
  <c r="M81" i="4"/>
  <c r="M78" i="4"/>
  <c r="N95" i="4"/>
  <c r="M95" i="4"/>
  <c r="M19" i="4"/>
  <c r="M88" i="4"/>
  <c r="M80" i="4"/>
  <c r="M54" i="4"/>
  <c r="N67" i="4"/>
  <c r="M67" i="4"/>
  <c r="N87" i="4"/>
  <c r="M82" i="4"/>
  <c r="M56" i="4"/>
  <c r="M30" i="4"/>
  <c r="N39" i="4"/>
  <c r="M64" i="4"/>
  <c r="M84" i="4"/>
  <c r="M58" i="4"/>
  <c r="M32" i="4"/>
  <c r="M6" i="4"/>
  <c r="N47" i="4"/>
  <c r="N66" i="4"/>
  <c r="M86" i="4"/>
  <c r="M60" i="4"/>
  <c r="M34" i="4"/>
  <c r="M8" i="4"/>
  <c r="N78" i="4"/>
  <c r="M28" i="4"/>
  <c r="N42" i="4"/>
  <c r="M62" i="4"/>
  <c r="M36" i="4"/>
  <c r="M10" i="4"/>
  <c r="N80" i="4"/>
  <c r="N54" i="4"/>
  <c r="M18" i="4"/>
  <c r="N90" i="4"/>
  <c r="N18" i="4"/>
  <c r="M38" i="4"/>
  <c r="M12" i="4"/>
  <c r="N82" i="4"/>
  <c r="N56" i="4"/>
  <c r="N30" i="4"/>
  <c r="N98" i="4"/>
  <c r="N52" i="4"/>
  <c r="M14" i="4"/>
  <c r="N84" i="4"/>
  <c r="N58" i="4"/>
  <c r="N32" i="4"/>
  <c r="N6" i="4"/>
  <c r="N19" i="4"/>
  <c r="M44" i="4"/>
  <c r="N86" i="4"/>
  <c r="N60" i="4"/>
  <c r="N34" i="4"/>
  <c r="N8" i="4"/>
  <c r="M76" i="4"/>
  <c r="N63" i="4"/>
  <c r="M26" i="4"/>
  <c r="N93" i="4"/>
  <c r="N89" i="4"/>
  <c r="N62" i="4"/>
  <c r="N36" i="4"/>
  <c r="N10" i="4"/>
  <c r="M70" i="4"/>
  <c r="M46" i="4"/>
  <c r="M23" i="4"/>
  <c r="M51" i="4"/>
  <c r="N26" i="4"/>
  <c r="N69" i="4"/>
  <c r="N65" i="4"/>
  <c r="N38" i="4"/>
  <c r="N12" i="4"/>
  <c r="M100" i="4"/>
  <c r="M90" i="4"/>
  <c r="M66" i="4"/>
  <c r="N23" i="4"/>
  <c r="N45" i="4"/>
  <c r="N41" i="4"/>
  <c r="N14" i="4"/>
  <c r="M75" i="4"/>
  <c r="M45" i="4"/>
  <c r="N88" i="4"/>
  <c r="M16" i="4"/>
  <c r="N51" i="4"/>
  <c r="N74" i="4"/>
  <c r="M49" i="4"/>
  <c r="N25" i="4"/>
  <c r="N21" i="4"/>
  <c r="N17" i="4"/>
  <c r="M52" i="4"/>
  <c r="M69" i="4"/>
  <c r="M89" i="4"/>
  <c r="M79" i="4"/>
  <c r="M77" i="4"/>
  <c r="N91" i="4"/>
  <c r="M22" i="4"/>
  <c r="M21" i="4"/>
  <c r="M48" i="4"/>
  <c r="M74" i="4"/>
  <c r="M50" i="4"/>
  <c r="M47" i="4"/>
  <c r="M65" i="4"/>
  <c r="M39" i="4"/>
  <c r="M55" i="4"/>
  <c r="M53" i="4"/>
  <c r="M72" i="4"/>
  <c r="N22" i="4"/>
  <c r="M20" i="4"/>
  <c r="M92" i="4"/>
  <c r="M42" i="4"/>
  <c r="M63" i="4"/>
  <c r="M57" i="4"/>
  <c r="M31" i="4"/>
  <c r="M29" i="4"/>
  <c r="N43" i="4"/>
  <c r="N50" i="4"/>
  <c r="N73" i="4"/>
  <c r="M40" i="4"/>
  <c r="M15" i="4"/>
  <c r="M83" i="4"/>
  <c r="M33" i="4"/>
  <c r="M7" i="4"/>
  <c r="M5" i="4"/>
  <c r="N99" i="4"/>
  <c r="N100" i="4"/>
  <c r="N46" i="4"/>
  <c r="N49" i="4"/>
  <c r="N72" i="4"/>
  <c r="N68" i="4"/>
  <c r="N64" i="4"/>
  <c r="M85" i="4"/>
  <c r="M59" i="4"/>
  <c r="M9" i="4"/>
  <c r="N79" i="4"/>
  <c r="N77" i="4"/>
  <c r="M27" i="4"/>
  <c r="N94" i="4"/>
  <c r="M25" i="4"/>
  <c r="M24" i="4"/>
  <c r="N48" i="4"/>
  <c r="N44" i="4"/>
  <c r="N40" i="4"/>
  <c r="M61" i="4"/>
  <c r="M35" i="4"/>
  <c r="N81" i="4"/>
  <c r="N55" i="4"/>
  <c r="N53" i="4"/>
  <c r="N71" i="4"/>
  <c r="N70" i="4"/>
  <c r="N97" i="4"/>
  <c r="N96" i="4"/>
  <c r="N24" i="4"/>
  <c r="N20" i="4"/>
  <c r="N16" i="4"/>
  <c r="M37" i="4"/>
  <c r="M11" i="4"/>
  <c r="N57" i="4"/>
  <c r="N31" i="4"/>
  <c r="N29" i="4"/>
  <c r="M43" i="4"/>
  <c r="M96" i="4"/>
  <c r="N92" i="4"/>
  <c r="M71" i="4"/>
  <c r="M97" i="4"/>
  <c r="M73" i="4"/>
  <c r="M13" i="4"/>
  <c r="N83" i="4"/>
  <c r="N33" i="4"/>
  <c r="N7" i="4"/>
  <c r="F3" i="3"/>
</calcChain>
</file>

<file path=xl/sharedStrings.xml><?xml version="1.0" encoding="utf-8"?>
<sst xmlns="http://schemas.openxmlformats.org/spreadsheetml/2006/main" count="326" uniqueCount="254">
  <si>
    <t>#</t>
  </si>
  <si>
    <t>Ug</t>
  </si>
  <si>
    <t>Rw</t>
  </si>
  <si>
    <t>[4-16-4]</t>
  </si>
  <si>
    <t>[4]</t>
  </si>
  <si>
    <t>[6]</t>
  </si>
  <si>
    <t>[4-24-4]</t>
  </si>
  <si>
    <t>[4-16ar-4]</t>
  </si>
  <si>
    <t>[4-16-4i]</t>
  </si>
  <si>
    <t>[4-16ar-4i]</t>
  </si>
  <si>
    <t>[4i-16-4i]</t>
  </si>
  <si>
    <t>[4i-16ar-4i]</t>
  </si>
  <si>
    <t>[4-24-4i]</t>
  </si>
  <si>
    <t>[4-24ar-4i]</t>
  </si>
  <si>
    <t>[4-10-4-10-4]</t>
  </si>
  <si>
    <t>[4-10ar-4-10ar-4]</t>
  </si>
  <si>
    <t>[4-10-4-10-4i]</t>
  </si>
  <si>
    <t>[4-10-4-10ar-4i]</t>
  </si>
  <si>
    <t>[4i-10-4-10-4i]</t>
  </si>
  <si>
    <t>[4i-10ar-4-10ar-4i]</t>
  </si>
  <si>
    <t>[4-14-4-14-4]</t>
  </si>
  <si>
    <t>[4-14ar-4-14ar-4]</t>
  </si>
  <si>
    <t>[4-14-4-14-4i]</t>
  </si>
  <si>
    <t>[4-14-4-14ar-4i]</t>
  </si>
  <si>
    <t>[4i-14-4-14-4i]</t>
  </si>
  <si>
    <t>[4i-14ar-4-14ar-4i]</t>
  </si>
  <si>
    <t>[4-16-4-16-4]</t>
  </si>
  <si>
    <t>[4-16ar-4-16ar-4]</t>
  </si>
  <si>
    <t>[4-16-4-16-4i]</t>
  </si>
  <si>
    <t>[4-16-4-16ar-4i]</t>
  </si>
  <si>
    <t>[4i-16-4-16-4i]</t>
  </si>
  <si>
    <t>[4i-16ar-4-16ar-4i]</t>
  </si>
  <si>
    <t>[4-18-4-18-4]</t>
  </si>
  <si>
    <t>[4-18ar-4-18ar-4]</t>
  </si>
  <si>
    <t>[4-18-4-18-4i]</t>
  </si>
  <si>
    <t>[4-18-4-18ar-4i]</t>
  </si>
  <si>
    <t>[4i-18-4-18-4i]</t>
  </si>
  <si>
    <t>[4i-18ar-4-18ar-4i]</t>
  </si>
  <si>
    <t>R+C</t>
  </si>
  <si>
    <t>[6-14ar-4i]</t>
  </si>
  <si>
    <t>[6-22ar-4i]</t>
  </si>
  <si>
    <t>[6-20ar-6i]</t>
  </si>
  <si>
    <t>[33.1-14ar-4i]</t>
  </si>
  <si>
    <t>[44.1-12ar-4i]</t>
  </si>
  <si>
    <t>[33.1-22ar-4i]</t>
  </si>
  <si>
    <t>[44.1-20ar-4i]</t>
  </si>
  <si>
    <t>[33.1-20ar-6i]</t>
  </si>
  <si>
    <t>[44.1-18ar-6i]</t>
  </si>
  <si>
    <t>[6i-14ar-4-12ar-4i]</t>
  </si>
  <si>
    <t>[33.1i-14ar-4-12ar-4i]</t>
  </si>
  <si>
    <t>[44.1i-12ar-4-12ar-4i]</t>
  </si>
  <si>
    <t>[6i-12ar-4-12ar-6i]</t>
  </si>
  <si>
    <t>[6i-12ar-6-10ar-6i]</t>
  </si>
  <si>
    <t>[33.1i-12ar-6-10ar-6i]</t>
  </si>
  <si>
    <t>[44.1i-10ar-6-10ar-6i]</t>
  </si>
  <si>
    <t>[6i-16ar-4-14ar-4i]</t>
  </si>
  <si>
    <t>[33.1i-16ar-4-14ar-4i]</t>
  </si>
  <si>
    <t>[44.1i-14ar-4-14ar-4i]</t>
  </si>
  <si>
    <t>[6i-14ar-4-14ar-6i]</t>
  </si>
  <si>
    <t>[6i-14ar-6-12ar-6i]</t>
  </si>
  <si>
    <t>[33.1i-14ar-6-12ar-6i]</t>
  </si>
  <si>
    <t>[44.1i-12ar-6-12ar-6i]</t>
  </si>
  <si>
    <t>[6i-18ar-4-16ar-4i]</t>
  </si>
  <si>
    <t>[33.1i-18ar-4-16ar-4i]</t>
  </si>
  <si>
    <t>[44.1i-16ar-4-16ar-4i]</t>
  </si>
  <si>
    <t>[6i-16ar-4-16ar-6i]</t>
  </si>
  <si>
    <t>[6i-16ar-6-14ar-6i]</t>
  </si>
  <si>
    <t>[33.1i-16ar-6-14ar-6i]</t>
  </si>
  <si>
    <t>[44.1i-14ar-6-14ar-6i]</t>
  </si>
  <si>
    <t>[44.4-10ar-4i]</t>
  </si>
  <si>
    <t>[44.4-18ar-4i]</t>
  </si>
  <si>
    <t>[44.4i-14ar-4-12ar-4i]</t>
  </si>
  <si>
    <t>[44.4i-12ar-6-10ar-6i]</t>
  </si>
  <si>
    <t>[44.4i-16ar-4-14ar-4i]</t>
  </si>
  <si>
    <t>[44.4i-14ar-6-12ar-6i]</t>
  </si>
  <si>
    <t>[PVC-1.5-XPS-21]</t>
  </si>
  <si>
    <t>[PVC-1.5-XPS-30]</t>
  </si>
  <si>
    <t>[PVC-1.0-XPS-42]</t>
  </si>
  <si>
    <t>[PVC-2.0-XPS-45]</t>
  </si>
  <si>
    <t>[PVC-1.5-PUR-21]</t>
  </si>
  <si>
    <t>[PVC-1.5-PUR-30]</t>
  </si>
  <si>
    <t>[PVC-1.5-PUR-40]</t>
  </si>
  <si>
    <t>[PVC-2.0-HPL-20]</t>
  </si>
  <si>
    <t>[PVC-2.0-HPL-29]</t>
  </si>
  <si>
    <t>[PVC-2.0-HPL-36]</t>
  </si>
  <si>
    <t>width window</t>
  </si>
  <si>
    <t>height window</t>
  </si>
  <si>
    <t>if_IGU</t>
  </si>
  <si>
    <t>R+Ctr</t>
  </si>
  <si>
    <t>Rg</t>
  </si>
  <si>
    <t>Ctr</t>
  </si>
  <si>
    <t>C</t>
  </si>
  <si>
    <t>Rg+Ctr</t>
  </si>
  <si>
    <t>Rw+Ctr</t>
  </si>
  <si>
    <t>Uw</t>
  </si>
  <si>
    <t>R</t>
  </si>
  <si>
    <t>Area SashMullionSash</t>
  </si>
  <si>
    <t>Area SashMoveableMullionSash</t>
  </si>
  <si>
    <t>Area SashMullion</t>
  </si>
  <si>
    <t>Area FrameSash</t>
  </si>
  <si>
    <t>Area ThresholdSash</t>
  </si>
  <si>
    <t>Area Frame</t>
  </si>
  <si>
    <t>Area Mullion</t>
  </si>
  <si>
    <t>Area Glass_1</t>
  </si>
  <si>
    <t>length Glass_1</t>
  </si>
  <si>
    <t>Area Glass_2</t>
  </si>
  <si>
    <t>length Glass_2</t>
  </si>
  <si>
    <t>Area Glass_3</t>
  </si>
  <si>
    <t>length Glass_3</t>
  </si>
  <si>
    <t>Area Panel_1</t>
  </si>
  <si>
    <t>Area Panel_2</t>
  </si>
  <si>
    <t>Area Panel_3</t>
  </si>
  <si>
    <t>U FrameSash</t>
  </si>
  <si>
    <t>U ThresholdSash</t>
  </si>
  <si>
    <t>U Frame</t>
  </si>
  <si>
    <t>U Mullion</t>
  </si>
  <si>
    <t>U SashMullion</t>
  </si>
  <si>
    <t>U SashMullionSash</t>
  </si>
  <si>
    <t>U SashMoveableMullionSash</t>
  </si>
  <si>
    <t>U Panel_1</t>
  </si>
  <si>
    <t>U Glass_1</t>
  </si>
  <si>
    <t>Psi Glass_1</t>
  </si>
  <si>
    <t>U Glass_2</t>
  </si>
  <si>
    <t>U Glass_3</t>
  </si>
  <si>
    <t>U Panel_2</t>
  </si>
  <si>
    <t>U Panel_3</t>
  </si>
  <si>
    <t>Psi Glass_2</t>
  </si>
  <si>
    <t>Psi Glass_3</t>
  </si>
  <si>
    <t>Площадь сечений профилей
Х
Коэффициент теплопередачи профилей</t>
  </si>
  <si>
    <t>Площадь остекления
Х
Коэффициент теплопередачи остекления</t>
  </si>
  <si>
    <t>Длина дистанции
Х
Коэффициент теплопередачи дистанции</t>
  </si>
  <si>
    <t>Площадь панелей
Х
Коэффициент теплопередачи панелей</t>
  </si>
  <si>
    <t>uncoated</t>
  </si>
  <si>
    <t>Tv</t>
  </si>
  <si>
    <t>g-value</t>
  </si>
  <si>
    <t>[4m-16-4]</t>
  </si>
  <si>
    <t>81/NPD</t>
  </si>
  <si>
    <t>78/NPD</t>
  </si>
  <si>
    <t>[4m-16ar-4]</t>
  </si>
  <si>
    <t>79/NPD</t>
  </si>
  <si>
    <t>[4m-16-4i]</t>
  </si>
  <si>
    <t>61/NPD</t>
  </si>
  <si>
    <t>[4m-16ar-4i]</t>
  </si>
  <si>
    <t>[4m-24-4]</t>
  </si>
  <si>
    <t>[4m-24-4i]</t>
  </si>
  <si>
    <t>[4m-24ar-4i]</t>
  </si>
  <si>
    <t>[4m-10-4-10-4]</t>
  </si>
  <si>
    <t>74/NPD</t>
  </si>
  <si>
    <t>71/NPD</t>
  </si>
  <si>
    <t>[4m-10-4-10ar-4i]</t>
  </si>
  <si>
    <t>56/NPD</t>
  </si>
  <si>
    <t>[4m-14-4-14-4]</t>
  </si>
  <si>
    <t>[4m-14-4-14ar-4i]</t>
  </si>
  <si>
    <t>[4m-16-4-16-4]</t>
  </si>
  <si>
    <t>[4m-16-4-16ar-4i]</t>
  </si>
  <si>
    <t>[4m-18-4-18-4]</t>
  </si>
  <si>
    <t>[4m-18-4-18ar-4i]</t>
  </si>
  <si>
    <t>Up - панелей - дані Weiss</t>
  </si>
  <si>
    <t>Rw - індекс звукоізоляції повітряного шуму</t>
  </si>
  <si>
    <t>Розрахунок Ud еталонних дверей 1100x2180 може переноситься на інші двері, загальною площею до 3,6 м.кв.</t>
  </si>
  <si>
    <t>Розрахунок Uw еталонного вікна 1230x1480 може переноситься на інші вікна «Всіх розмірів», за умови Ug &lt; 1,9</t>
  </si>
  <si>
    <t>Ag - площа, яку займають видимі частини склопакетів</t>
  </si>
  <si>
    <t>Ig - периметр видимих частин склопакета.</t>
  </si>
  <si>
    <t>Uf - коеф. теплопередачі перерізів профілів - методика розрахунку ДСТУ EN ISO 10077-2 - дані протоколів випробувань</t>
  </si>
  <si>
    <t>Ug - коеф. теплопередачі склопакета в центральній зоні - методика розрахунку ДСТУ EN 673 (конфігуратор AGC - скло Planibel Clear та Planibel Top N+) - дані DoP згідно протоколів випробувань</t>
  </si>
  <si>
    <t>Ψg - лінійний коеф. теплопропередачі теплих дистанційних рамок - дані BF</t>
  </si>
  <si>
    <t xml:space="preserve">Ψg - лінійний коеф. теплопропередачі алюмінієвих дистанційних рамок - дані Таблиці G1 - ДСТУ EN ISO 10077-1 </t>
  </si>
  <si>
    <t>Ap - площа, яку займають видимі частини панелей</t>
  </si>
  <si>
    <t>Rw + C - адаптація для середньочастотних та високочастотних джерел шуму, таких як мова, також називається «рожевий шум», як зазначено в ДСТУ EN ISO 717-1.</t>
  </si>
  <si>
    <t>Rw + Ctr - адаптація для низькочастотних джерел шуму, таких як літаки (на землі), поїзди та автомобілі, як зазначено в ДСТУ EN ISO 717-1.</t>
  </si>
  <si>
    <t>Відповідно до ДСТУ EN 14351-1 (Додаток B) Rw(C;Ctr) можна знаходити за допомогою табличних даних:</t>
  </si>
  <si>
    <t>Uw/d - коеф. теплопередачі вікна/дверей - методика розрахунку ДСТУ EN ISO 10077-1</t>
  </si>
  <si>
    <t>Uw/d = (AfUf + AgUg + IgΨg + ApUp) / (Af + Ag + Ap)</t>
  </si>
  <si>
    <t>Af - площа, яку займають різні комбінації профілів у загальній площині вікна/дверей, перпендикулярній вулиці/приміщенню.</t>
  </si>
  <si>
    <t>Відповідно до ДСТУ EN 14351-1 (Таблиця E):</t>
  </si>
  <si>
    <t>width door</t>
  </si>
  <si>
    <t>height door</t>
  </si>
  <si>
    <t>window 5S</t>
  </si>
  <si>
    <t>window 6S</t>
  </si>
  <si>
    <t>window 8S</t>
  </si>
  <si>
    <t>window 76AD</t>
  </si>
  <si>
    <t>window 76MD</t>
  </si>
  <si>
    <t>door 60 T92</t>
  </si>
  <si>
    <t>door 60 T104</t>
  </si>
  <si>
    <t>door 60 T116</t>
  </si>
  <si>
    <t>door 60 Z104</t>
  </si>
  <si>
    <t>door 70 Z104</t>
  </si>
  <si>
    <t>door 70 T116</t>
  </si>
  <si>
    <t>door 76 T124</t>
  </si>
  <si>
    <t>door 76 T106</t>
  </si>
  <si>
    <t>door 76 Z114</t>
  </si>
  <si>
    <t>french 76 Z76</t>
  </si>
  <si>
    <t>H_frame_out</t>
  </si>
  <si>
    <t>H_sash_out</t>
  </si>
  <si>
    <t>H_mullion_out</t>
  </si>
  <si>
    <t>H_threshold_out</t>
  </si>
  <si>
    <t>U_frameSash</t>
  </si>
  <si>
    <t>U_mullion</t>
  </si>
  <si>
    <t>U_thresholdSash</t>
  </si>
  <si>
    <t>Area frameSash</t>
  </si>
  <si>
    <t>Area thresholdSash</t>
  </si>
  <si>
    <t>window 7S</t>
  </si>
  <si>
    <t>french 70 Z78</t>
  </si>
  <si>
    <t>french 60 Z78</t>
  </si>
  <si>
    <t>Length glass</t>
  </si>
  <si>
    <t>A_frame_left</t>
  </si>
  <si>
    <t>A_frame_right</t>
  </si>
  <si>
    <t>A_frame_top</t>
  </si>
  <si>
    <t>A_frame_bottom</t>
  </si>
  <si>
    <t>system</t>
  </si>
  <si>
    <t>A_sash_left</t>
  </si>
  <si>
    <t>A_sash_right</t>
  </si>
  <si>
    <t>A_sash_top</t>
  </si>
  <si>
    <t>A_sash_bottom</t>
  </si>
  <si>
    <t>H_betweenThresholdSash_out</t>
  </si>
  <si>
    <t>A_mullion</t>
  </si>
  <si>
    <t>A_threshold</t>
  </si>
  <si>
    <t>A_betweenThresholdSash</t>
  </si>
  <si>
    <t>psi_swisspacer_ultimate_1k</t>
  </si>
  <si>
    <t>psi_swisspacer_ultimate_2k</t>
  </si>
  <si>
    <t>psi_Al_uncoated_1k</t>
  </si>
  <si>
    <t>psi_Al_uncoated_2k</t>
  </si>
  <si>
    <t>psi_Al_coated_1k</t>
  </si>
  <si>
    <t>psi_Al_coated_2k</t>
  </si>
  <si>
    <t>Width_glass_top</t>
  </si>
  <si>
    <t>Height_glass_top</t>
  </si>
  <si>
    <t>Width_glass_bottom</t>
  </si>
  <si>
    <t>Height_glass_bottom</t>
  </si>
  <si>
    <t>windows</t>
  </si>
  <si>
    <t>doors</t>
  </si>
  <si>
    <t>Area glass</t>
  </si>
  <si>
    <t>Psi Al</t>
  </si>
  <si>
    <t>Psi warm</t>
  </si>
  <si>
    <t>DBN Aluminium</t>
  </si>
  <si>
    <t>DBN Swisspacer</t>
  </si>
  <si>
    <t>width</t>
  </si>
  <si>
    <t>U 
рама-стулка</t>
  </si>
  <si>
    <t>Площа 
рама-стулка</t>
  </si>
  <si>
    <t>U 
імпост</t>
  </si>
  <si>
    <t>Площа
імпост</t>
  </si>
  <si>
    <t>U
поріг-стулка</t>
  </si>
  <si>
    <t>Площа
поріг-стулка</t>
  </si>
  <si>
    <t>табл.</t>
  </si>
  <si>
    <t>Psi
рамки</t>
  </si>
  <si>
    <t>Площа
скло пакетів</t>
  </si>
  <si>
    <t>U скло пакетів</t>
  </si>
  <si>
    <t>Пери метр
рамки</t>
  </si>
  <si>
    <t>Виберіть систему профілів з випадаючего списка нижче:</t>
  </si>
  <si>
    <t>Infill</t>
  </si>
  <si>
    <t>U Aluminium</t>
  </si>
  <si>
    <t>U Swisspacer</t>
  </si>
  <si>
    <t>R Aluminium</t>
  </si>
  <si>
    <t>R Swisspacer</t>
  </si>
  <si>
    <t>розрахунок буде виконуватися в версіі Office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</si>
</sst>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76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0" borderId="0" applyNumberFormat="0" applyFill="0" applyBorder="0" applyAlignment="0" applyProtection="0"/>
    <xf numFmtId="0" fontId="5" fillId="5" borderId="6" applyNumberFormat="0" applyAlignment="0" applyProtection="0"/>
    <xf numFmtId="0" fontId="6" fillId="3" borderId="6" applyNumberFormat="0" applyAlignment="0" applyProtection="0"/>
  </cellStyleXfs>
  <cellXfs count="57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 vertical="center"/>
    </xf>
    <xf numFmtId="0" fontId="0" fillId="4" borderId="2" xfId="3" applyFont="1"/>
    <xf numFmtId="0" fontId="3" fillId="3" borderId="1" xfId="2"/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3" xfId="3" applyFont="1" applyBorder="1"/>
    <xf numFmtId="0" fontId="0" fillId="4" borderId="3" xfId="3" applyFont="1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1" xfId="2" applyAlignment="1">
      <alignment horizontal="center" vertical="center" wrapText="1"/>
    </xf>
    <xf numFmtId="0" fontId="3" fillId="3" borderId="1" xfId="2" applyAlignment="1">
      <alignment horizontal="center"/>
    </xf>
    <xf numFmtId="0" fontId="3" fillId="3" borderId="5" xfId="2" applyBorder="1" applyAlignment="1">
      <alignment horizontal="center"/>
    </xf>
    <xf numFmtId="0" fontId="6" fillId="3" borderId="6" xfId="6"/>
    <xf numFmtId="2" fontId="7" fillId="5" borderId="6" xfId="5" applyNumberFormat="1" applyFont="1"/>
    <xf numFmtId="0" fontId="0" fillId="4" borderId="7" xfId="3" applyFont="1" applyBorder="1"/>
    <xf numFmtId="0" fontId="3" fillId="3" borderId="8" xfId="2" applyBorder="1"/>
    <xf numFmtId="0" fontId="0" fillId="4" borderId="9" xfId="3" applyFont="1" applyBorder="1"/>
    <xf numFmtId="0" fontId="3" fillId="3" borderId="10" xfId="2" applyBorder="1"/>
    <xf numFmtId="1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2" applyFill="1" applyAlignment="1">
      <alignment horizont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4" applyAlignment="1">
      <alignment vertical="center"/>
    </xf>
    <xf numFmtId="0" fontId="4" fillId="0" borderId="0" xfId="4" applyFill="1"/>
    <xf numFmtId="0" fontId="0" fillId="4" borderId="15" xfId="3" applyFont="1" applyBorder="1"/>
    <xf numFmtId="0" fontId="0" fillId="4" borderId="14" xfId="3" applyFont="1" applyBorder="1"/>
    <xf numFmtId="0" fontId="3" fillId="3" borderId="16" xfId="2" applyBorder="1"/>
    <xf numFmtId="0" fontId="0" fillId="0" borderId="0" xfId="0" applyBorder="1"/>
    <xf numFmtId="0" fontId="0" fillId="0" borderId="0" xfId="0" applyNumberFormat="1"/>
    <xf numFmtId="0" fontId="12" fillId="0" borderId="0" xfId="1" applyFont="1" applyFill="1" applyAlignment="1">
      <alignment horizontal="center" vertical="center" wrapText="1"/>
    </xf>
    <xf numFmtId="16" fontId="13" fillId="0" borderId="0" xfId="0" applyNumberFormat="1" applyFont="1" applyFill="1"/>
    <xf numFmtId="16" fontId="13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14" fillId="0" borderId="0" xfId="1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15" fillId="0" borderId="0" xfId="1" applyFont="1" applyFill="1" applyAlignment="1">
      <alignment horizontal="center" vertical="center" wrapText="1"/>
    </xf>
    <xf numFmtId="164" fontId="6" fillId="3" borderId="6" xfId="6" applyNumberFormat="1" applyAlignment="1">
      <alignment horizontal="center" vertical="center"/>
    </xf>
    <xf numFmtId="2" fontId="6" fillId="3" borderId="6" xfId="6" applyNumberFormat="1" applyAlignment="1">
      <alignment horizontal="center" vertical="center"/>
    </xf>
    <xf numFmtId="0" fontId="3" fillId="3" borderId="1" xfId="2" applyAlignment="1">
      <alignment horizontal="left" vertical="center" wrapText="1"/>
    </xf>
    <xf numFmtId="0" fontId="16" fillId="3" borderId="1" xfId="2" applyFont="1" applyAlignment="1">
      <alignment horizontal="center" vertical="center" wrapText="1"/>
    </xf>
    <xf numFmtId="0" fontId="11" fillId="4" borderId="2" xfId="3" applyFont="1" applyProtection="1">
      <protection locked="0"/>
    </xf>
    <xf numFmtId="0" fontId="0" fillId="4" borderId="2" xfId="3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6" borderId="0" xfId="0" applyFont="1" applyFill="1" applyBorder="1"/>
  </cellXfs>
  <cellStyles count="7">
    <cellStyle name="Calculation" xfId="6" builtinId="22"/>
    <cellStyle name="Hyperlink" xfId="4" builtinId="8"/>
    <cellStyle name="Input" xfId="5" builtinId="20"/>
    <cellStyle name="Neutral" xfId="1" builtinId="28"/>
    <cellStyle name="Normal" xfId="0" builtinId="0"/>
    <cellStyle name="Note" xfId="3" builtinId="10"/>
    <cellStyle name="Output" xfId="2" builtinId="21"/>
  </cellStyles>
  <dxfs count="77">
    <dxf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rgb="FF3F3F3F"/>
        </right>
        <top style="thin">
          <color rgb="FFB2B2B2"/>
        </top>
        <bottom style="thin">
          <color rgb="FFB2B2B2"/>
        </bottom>
      </border>
    </dxf>
    <dxf>
      <border outline="0">
        <left style="thin">
          <color rgb="FFB2B2B2"/>
        </left>
        <right style="thin">
          <color rgb="FF3F3F3F"/>
        </right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rgb="FF3F3F3F"/>
        </right>
        <top style="thin">
          <color rgb="FFB2B2B2"/>
        </top>
        <bottom style="thin">
          <color rgb="FFB2B2B2"/>
        </bottom>
      </border>
    </dxf>
    <dxf>
      <border outline="0">
        <left style="thin">
          <color rgb="FFB2B2B2"/>
        </left>
        <right style="thin">
          <color rgb="FF3F3F3F"/>
        </right>
      </border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C00000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21" formatCode="d\-mmm"/>
    </dxf>
    <dxf>
      <alignment horizontal="center" vertical="center" textRotation="0" wrapText="1" indent="0" justifyLastLine="0" shrinkToFit="0" readingOrder="0"/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180975</xdr:colOff>
      <xdr:row>2</xdr:row>
      <xdr:rowOff>180975</xdr:rowOff>
    </xdr:from>
    <xdr:to>
      <xdr:col>24</xdr:col>
      <xdr:colOff>428625</xdr:colOff>
      <xdr:row>44</xdr:row>
      <xdr:rowOff>13226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549ED2-057D-484F-AFC7-63DEE6610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1114425"/>
          <a:ext cx="1809750" cy="2118251"/>
        </a:xfrm>
        <a:prstGeom prst="rect">
          <a:avLst/>
        </a:prstGeom>
      </xdr:spPr>
    </xdr:pic>
    <xdr:clientData/>
  </xdr:twoCellAnchor>
  <xdr:twoCellAnchor editAs="oneCell">
    <xdr:from>
      <xdr:col>22</xdr:col>
      <xdr:colOff>164750</xdr:colOff>
      <xdr:row>45</xdr:row>
      <xdr:rowOff>142876</xdr:rowOff>
    </xdr:from>
    <xdr:to>
      <xdr:col>24</xdr:col>
      <xdr:colOff>217146</xdr:colOff>
      <xdr:row>99</xdr:row>
      <xdr:rowOff>147066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DC4159-F644-4E22-876B-D1C5734DC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7575" y="3552826"/>
          <a:ext cx="1614496" cy="28616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DoP" displayName="DoP" ref="A4:V100" totalsRowShown="0" headerRowDxfId="61">
  <autoFilter ref="A4:V100" xr:uid="{1A0FF845-69C6-4D94-B439-E2555D05AF8C}">
    <filterColumn colId="0">
      <customFilters>
        <customFilter operator="notEqual" val=" "/>
      </customFilters>
    </filterColumn>
  </autoFilter>
  <tableColumns count="22">
    <tableColumn id="1" xr3:uid="{00000000-0010-0000-0300-000001000000}" name="#"/>
    <tableColumn id="2" xr3:uid="{00000000-0010-0000-0300-000002000000}" name="Infill" dataDxfId="60"/>
    <tableColumn id="22" xr3:uid="{00000000-0010-0000-0300-000016000000}" name="width" dataDxfId="59"/>
    <tableColumn id="3" xr3:uid="{00000000-0010-0000-0300-000003000000}" name="Ug" dataDxfId="58"/>
    <tableColumn id="25" xr3:uid="{00000000-0010-0000-0300-000019000000}" name="Tv" dataDxfId="57"/>
    <tableColumn id="20" xr3:uid="{00000000-0010-0000-0300-000014000000}" name="g-value" dataDxfId="56"/>
    <tableColumn id="4" xr3:uid="{00000000-0010-0000-0300-000004000000}" name="Rg" dataDxfId="55"/>
    <tableColumn id="5" xr3:uid="{00000000-0010-0000-0300-000005000000}" name="R+C" dataDxfId="54"/>
    <tableColumn id="6" xr3:uid="{00000000-0010-0000-0300-000006000000}" name="R+Ctr" dataDxfId="53"/>
    <tableColumn id="21" xr3:uid="{00000000-0010-0000-0300-000015000000}" name="Rw" dataDxfId="52" dataCellStyle="Output"/>
    <tableColumn id="24" xr3:uid="{00000000-0010-0000-0300-000018000000}" name="C" dataDxfId="51" dataCellStyle="Output"/>
    <tableColumn id="23" xr3:uid="{00000000-0010-0000-0300-000017000000}" name="Ctr" dataDxfId="50" dataCellStyle="Output"/>
    <tableColumn id="7" xr3:uid="{00000000-0010-0000-0300-000007000000}" name="U Aluminium" dataDxfId="49" dataCellStyle="Neutral">
      <calculatedColumnFormula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calculatedColumnFormula>
    </tableColumn>
    <tableColumn id="8" xr3:uid="{00000000-0010-0000-0300-000008000000}" name="U Swisspacer" dataDxfId="48" dataCellStyle="Neutral">
      <calculatedColumnFormula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calculatedColumnFormula>
    </tableColumn>
    <tableColumn id="10" xr3:uid="{9275F6CF-9B11-442A-90AF-4F13F7E11B23}" name="R Aluminium" dataDxfId="47">
      <calculatedColumnFormula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calculatedColumnFormula>
    </tableColumn>
    <tableColumn id="11" xr3:uid="{BD8405F8-CCD0-4784-A71C-E38B40BA913C}" name="R Swisspacer" dataDxfId="46">
      <calculatedColumnFormula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calculatedColumnFormula>
    </tableColumn>
    <tableColumn id="27" xr3:uid="{00000000-0010-0000-0300-00001B000000}" name="uncoated" dataDxfId="45"/>
    <tableColumn id="19" xr3:uid="{00000000-0010-0000-0300-000013000000}" name="if_IGU" dataDxfId="44"/>
    <tableColumn id="28" xr3:uid="{A175A04C-B1C3-43E8-97A1-60ED857DE780}" name="Psi Al" dataDxfId="43" dataCellStyle="Calculation">
      <calculatedColumnFormula>IF(DoP[[#This Row],[if_IGU]]=1,
IF(DoP[[#This Row],[uncoated]]=TRUE,psi_Al_uncoated_1k,psi_Al_coated_1k),
IF(DoP[[#This Row],[if_IGU]]=2,
IF(DoP[[#This Row],[uncoated]]=TRUE,psi_Al_uncoated_2k,psi_Al_coated_2k),
0))</calculatedColumnFormula>
    </tableColumn>
    <tableColumn id="9" xr3:uid="{87FB67E0-83E3-4AF9-8BDA-5A1E6E86101D}" name="Psi warm" dataDxfId="42" dataCellStyle="Calculation">
      <calculatedColumnFormula>IF(DoP[[#This Row],[if_IGU]]=1,psi_swisspacer_ultimate_1k,
IF(DoP[[#This Row],[if_IGU]]=2,psi_swisspacer_ultimate_2k,
0))</calculatedColumnFormula>
    </tableColumn>
    <tableColumn id="12" xr3:uid="{786C00AF-3988-4DD7-9B71-4C0E9DB259A6}" name="DBN Aluminium" dataDxfId="41">
      <calculatedColumnFormula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calculatedColumnFormula>
    </tableColumn>
    <tableColumn id="13" xr3:uid="{CDD93CCA-0C15-43BA-A4C6-02E5D12975D7}" name="DBN Swisspacer" dataDxfId="40">
      <calculatedColumnFormula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DC7200-24D2-4A6A-9AD8-902CFDA87FC2}" name="windows" displayName="windows" ref="G1:AH7" totalsRowShown="0">
  <autoFilter ref="G1:AH7" xr:uid="{4CDC7200-24D2-4A6A-9AD8-902CFDA87FC2}"/>
  <tableColumns count="28">
    <tableColumn id="1" xr3:uid="{2F027189-2C96-4C20-89C5-75DB7DD9F071}" name="windows"/>
    <tableColumn id="2" xr3:uid="{1408DD23-94CE-4259-B4D8-D59214A90331}" name="H_frame_out"/>
    <tableColumn id="3" xr3:uid="{35EF3074-AC3F-4E5B-B11D-4E5434F2DCDA}" name="H_sash_out"/>
    <tableColumn id="4" xr3:uid="{2181615A-4794-47F9-B102-DCE18063A93F}" name="H_mullion_out"/>
    <tableColumn id="5" xr3:uid="{C3F5D05D-29C3-455A-BECD-E8EFB4936BBF}" name="H_threshold_out"/>
    <tableColumn id="6" xr3:uid="{E0368C02-A939-4904-B50D-5FAFB402AFDD}" name="H_betweenThresholdSash_out"/>
    <tableColumn id="7" xr3:uid="{993C4BB6-7351-4B28-86B5-2D681908A2EF}" name="U_frameSash"/>
    <tableColumn id="8" xr3:uid="{EC9B898F-E337-4818-9DD8-D53060CAD5E8}" name="U_mullion"/>
    <tableColumn id="9" xr3:uid="{47AABF93-E32C-4E4A-821B-141348E594A9}" name="U_thresholdSash"/>
    <tableColumn id="10" xr3:uid="{665A505C-FD0E-49F4-8020-7AA56E170421}" name="A_frame_left" dataDxfId="39">
      <calculatedColumnFormula>(heightRefWindow-windows[[#This Row],[H_frame_out]])*windows[[#This Row],[H_frame_out]]/1000000</calculatedColumnFormula>
    </tableColumn>
    <tableColumn id="11" xr3:uid="{73CD6556-46CE-4CD6-B7F0-A252F969E459}" name="A_frame_right" dataDxfId="38">
      <calculatedColumnFormula>(heightRefWindow-windows[[#This Row],[H_frame_out]])*windows[[#This Row],[H_frame_out]]/1000000</calculatedColumnFormula>
    </tableColumn>
    <tableColumn id="12" xr3:uid="{79EB53A9-7AD1-4CB4-9326-D39AE9F4FEA9}" name="A_frame_top" dataDxfId="37">
      <calculatedColumnFormula>(widthRefWindow-windows[[#This Row],[H_frame_out]])*windows[[#This Row],[H_frame_out]]/1000000</calculatedColumnFormula>
    </tableColumn>
    <tableColumn id="13" xr3:uid="{BFABF1FC-C1B7-4E17-AC2D-9000E6DD05C5}" name="A_frame_bottom" dataDxfId="36">
      <calculatedColumnFormula>(widthRefWindow-windows[[#This Row],[H_frame_out]])*windows[[#This Row],[H_frame_out]]/1000000</calculatedColumnFormula>
    </tableColumn>
    <tableColumn id="14" xr3:uid="{C2756730-05E8-4A10-BE4C-923F6C59462C}" name="A_sash_left" dataDxfId="35">
      <calculatedColumnFormula>(heightRefWindow-2*windows[[#This Row],[H_frame_out]]-windows[[#This Row],[H_sash_out]])*windows[[#This Row],[H_sash_out]]/1000000</calculatedColumnFormula>
    </tableColumn>
    <tableColumn id="15" xr3:uid="{8FE895E5-E762-4CFA-BF7D-93624015F05F}" name="A_sash_right" dataDxfId="34">
      <calculatedColumnFormula>(heightRefWindow-2*windows[[#This Row],[H_frame_out]]-windows[[#This Row],[H_sash_out]])*windows[[#This Row],[H_sash_out]]/1000000</calculatedColumnFormula>
    </tableColumn>
    <tableColumn id="16" xr3:uid="{AC52EFD6-5F6D-4086-A30E-C9DD5896A6CB}" name="A_sash_top" dataDxfId="33">
      <calculatedColumnFormula>(widthRefWindow-2*windows[[#This Row],[H_frame_out]]-windows[[#This Row],[H_sash_out]])*windows[[#This Row],[H_sash_out]]/1000000</calculatedColumnFormula>
    </tableColumn>
    <tableColumn id="17" xr3:uid="{D22B712F-C276-4295-B178-397DCFEB03AC}" name="A_sash_bottom" dataDxfId="32">
      <calculatedColumnFormula>(widthRefWindow-2*windows[[#This Row],[H_frame_out]]-windows[[#This Row],[H_sash_out]])*windows[[#This Row],[H_sash_out]]/1000000</calculatedColumnFormula>
    </tableColumn>
    <tableColumn id="18" xr3:uid="{2D2CCC75-1D4C-4D43-9641-4FE063EA6D56}" name="A_mullion"/>
    <tableColumn id="19" xr3:uid="{157C6315-9C53-49B1-8B8A-9F7EA871E780}" name="A_threshold"/>
    <tableColumn id="20" xr3:uid="{8EF6815F-CFC9-4BC3-9008-4C69112E2A4F}" name="A_betweenThresholdSash"/>
    <tableColumn id="21" xr3:uid="{4CE358B6-9F7B-4AF6-B530-08C577DFB3DF}" name="Width_glass_top" dataDxfId="31">
      <calculatedColumnFormula>(widthRefWindow-2*windows[[#This Row],[H_frame_out]]-2*windows[[#This Row],[H_sash_out]])/1000</calculatedColumnFormula>
    </tableColumn>
    <tableColumn id="22" xr3:uid="{3B1DB2E4-7F73-4863-A20D-C32B453EAEEA}" name="Height_glass_top" dataDxfId="30">
      <calculatedColumnFormula>(heightRefWindow-2*windows[[#This Row],[H_frame_out]]-2*windows[[#This Row],[H_sash_out]])/1000</calculatedColumnFormula>
    </tableColumn>
    <tableColumn id="23" xr3:uid="{C76E563A-0E5F-4048-94F9-6453744888F3}" name="Width_glass_bottom"/>
    <tableColumn id="24" xr3:uid="{F99C2F88-2152-401C-A406-1CB24943ECD7}" name="Height_glass_bottom"/>
    <tableColumn id="25" xr3:uid="{58B890C8-7140-412D-80CF-AA939E60AD25}" name="Area frameSash" dataDxfId="29">
      <calculatedColumnFormula>windows[[#This Row],[A_frame_left]]+windows[[#This Row],[A_sash_left]]+windows[[#This Row],[A_frame_right]]+windows[[#This Row],[A_sash_right]]+windows[[#This Row],[A_frame_top]]+windows[[#This Row],[A_sash_top]]+windows[[#This Row],[A_frame_bottom]]+windows[[#This Row],[A_sash_bottom]]</calculatedColumnFormula>
    </tableColumn>
    <tableColumn id="26" xr3:uid="{0B5EB1E1-C83B-4801-9C0A-E99CAEB6D87A}" name="Area thresholdSash" dataDxfId="28">
      <calculatedColumnFormula>windows[[#This Row],[A_threshold]]+windows[[#This Row],[A_betweenThresholdSash]]</calculatedColumnFormula>
    </tableColumn>
    <tableColumn id="27" xr3:uid="{68C73682-F9A6-4C08-857A-02DC3A5F63DA}" name="Area glass" dataDxfId="27">
      <calculatedColumnFormula>windows[[#This Row],[Width_glass_top]]*windows[[#This Row],[Height_glass_top]]</calculatedColumnFormula>
    </tableColumn>
    <tableColumn id="28" xr3:uid="{38A45CE0-D880-441C-8CF9-A77A9473E441}" name="Length glass" dataDxfId="26">
      <calculatedColumnFormula>(windows[[#This Row],[Width_glass_top]]+windows[[#This Row],[Height_glass_top]])*2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2A20480-9C9A-458A-8448-8022E6B6D43F}" name="doors" displayName="doors" ref="G9:AH21" totalsRowShown="0">
  <autoFilter ref="G9:AH21" xr:uid="{F2A20480-9C9A-458A-8448-8022E6B6D43F}"/>
  <tableColumns count="28">
    <tableColumn id="1" xr3:uid="{A74F8AB6-3F68-4B7A-8DED-47682F0688D3}" name="doors"/>
    <tableColumn id="2" xr3:uid="{5B98883A-6B2A-45AC-971E-D7C466E4A66B}" name="H_frame_out"/>
    <tableColumn id="3" xr3:uid="{D27E965F-8ECF-4945-B8E3-671FFD87F94A}" name="H_sash_out"/>
    <tableColumn id="4" xr3:uid="{71B09D1F-5308-474A-A59C-A0FB689FBBED}" name="H_mullion_out"/>
    <tableColumn id="5" xr3:uid="{D64275F6-D6CE-40EE-AE21-F5F4A354E8F6}" name="H_threshold_out"/>
    <tableColumn id="6" xr3:uid="{430C4EE8-966A-408E-B510-8458640428EE}" name="H_betweenThresholdSash_out"/>
    <tableColumn id="7" xr3:uid="{94AFEBD3-B83C-4CCC-8727-5573C7314D0B}" name="U_frameSash"/>
    <tableColumn id="8" xr3:uid="{A6C494D4-7B50-4E02-8A74-2A976BA27AB0}" name="U_mullion"/>
    <tableColumn id="9" xr3:uid="{814B5D50-BF7B-40DE-8E6F-414C66D0A2A0}" name="U_thresholdSash"/>
    <tableColumn id="10" xr3:uid="{1654133F-B8C0-4424-936C-93DEF7AFAB5A}" name="A_frame_left" dataDxfId="25">
      <calculatedColumnFormula>((2*heightRefDoor-doors[[#This Row],[H_frame_out]])*doors[[#This Row],[H_frame_out]]/2)/1000000</calculatedColumnFormula>
    </tableColumn>
    <tableColumn id="11" xr3:uid="{0268EE94-0D0A-47B4-995C-420C0C5C700E}" name="A_frame_right" dataDxfId="24">
      <calculatedColumnFormula>((2*heightRefDoor-doors[[#This Row],[H_frame_out]])*doors[[#This Row],[H_frame_out]]/2)/1000000</calculatedColumnFormula>
    </tableColumn>
    <tableColumn id="12" xr3:uid="{63639B70-7E7A-45A0-B5B8-99C7CA25B8CD}" name="A_frame_top" dataDxfId="23">
      <calculatedColumnFormula>(widthRefDoor-doors[[#This Row],[H_frame_out]])*doors[[#This Row],[H_frame_out]]/1000000</calculatedColumnFormula>
    </tableColumn>
    <tableColumn id="13" xr3:uid="{754E1F77-A48E-4131-BCBF-E2FA3210AFFB}" name="A_frame_bottom"/>
    <tableColumn id="14" xr3:uid="{DEB42174-2CE8-44CE-A349-194A630976BC}" name="A_sash_left" dataDxfId="22">
      <calculatedColumnFormula>(heightRefDoor-doors[[#This Row],[H_frame_out]]-doors[[#This Row],[H_threshold_out]]-doors[[#This Row],[H_betweenThresholdSash_out]]-doors[[#This Row],[H_sash_out]])*doors[[#This Row],[H_sash_out]]/1000000</calculatedColumnFormula>
    </tableColumn>
    <tableColumn id="15" xr3:uid="{D23CA810-40A9-40AC-9DF7-916212EA89BF}" name="A_sash_right" dataDxfId="21">
      <calculatedColumnFormula>(heightRefDoor-doors[[#This Row],[H_frame_out]]-doors[[#This Row],[H_threshold_out]]-doors[[#This Row],[H_betweenThresholdSash_out]]-doors[[#This Row],[H_sash_out]])*doors[[#This Row],[H_sash_out]]/1000000</calculatedColumnFormula>
    </tableColumn>
    <tableColumn id="16" xr3:uid="{11056A64-052B-43E9-AE51-341CB57476D5}" name="A_sash_top" dataDxfId="20">
      <calculatedColumnFormula>(widthRefDoor-2*doors[[#This Row],[H_frame_out]]-doors[[#This Row],[H_sash_out]])*doors[[#This Row],[H_sash_out]]/1000000</calculatedColumnFormula>
    </tableColumn>
    <tableColumn id="17" xr3:uid="{7FB2ED6E-43BB-43BA-8F6A-2BEEBCFFDE40}" name="A_sash_bottom" dataDxfId="19">
      <calculatedColumnFormula>(widthRefDoor-2*doors[[#This Row],[H_frame_out]]-doors[[#This Row],[H_sash_out]])*doors[[#This Row],[H_sash_out]]/1000000</calculatedColumnFormula>
    </tableColumn>
    <tableColumn id="18" xr3:uid="{A1996C47-FCF3-4449-8EC8-5AA7B0987F7F}" name="A_mullion" dataDxfId="18">
      <calculatedColumnFormula>(widthRefDoor-2*doors[[#This Row],[H_frame_out]]-2*doors[[#This Row],[H_sash_out]])*doors[[#This Row],[H_mullion_out]]/1000000</calculatedColumnFormula>
    </tableColumn>
    <tableColumn id="19" xr3:uid="{8BB263F1-D3FC-4A7D-A862-38148073D7DF}" name="A_threshold" dataDxfId="17">
      <calculatedColumnFormula>widthRefDoor*doors[[#This Row],[H_threshold_out]]/1000000</calculatedColumnFormula>
    </tableColumn>
    <tableColumn id="20" xr3:uid="{18D5D2EC-72BA-43AB-8F27-F4722303CB71}" name="A_betweenThresholdSash" dataDxfId="16">
      <calculatedColumnFormula>(widthRefDoor-2*doors[[#This Row],[H_frame_out]])*doors[[#This Row],[H_betweenThresholdSash_out]]/1000000</calculatedColumnFormula>
    </tableColumn>
    <tableColumn id="21" xr3:uid="{5BE60099-E5C8-47D8-8323-C15A3E363948}" name="Width_glass_top" dataDxfId="15">
      <calculatedColumnFormula>(widthRefDoor-2*doors[[#This Row],[H_frame_out]]-2*doors[[#This Row],[H_sash_out]])/1000</calculatedColumnFormula>
    </tableColumn>
    <tableColumn id="22" xr3:uid="{9F407E33-03AB-481A-9C55-32489C177CCE}" name="Height_glass_top" dataDxfId="14">
      <calculatedColumnFormula>(heightRefDoor-800-doors[[#This Row],[H_mullion_out]]/2-doors[[#This Row],[H_frame_out]]-doors[[#This Row],[H_sash_out]])/1000</calculatedColumnFormula>
    </tableColumn>
    <tableColumn id="23" xr3:uid="{71319361-4478-4EE4-A3E4-690AD98E3DF1}" name="Width_glass_bottom" dataDxfId="13">
      <calculatedColumnFormula>(widthRefDoor-2*doors[[#This Row],[H_frame_out]]-2*doors[[#This Row],[H_sash_out]])/1000</calculatedColumnFormula>
    </tableColumn>
    <tableColumn id="24" xr3:uid="{A4D8CD98-0363-4356-B20C-A06535C56D08}" name="Height_glass_bottom" dataDxfId="12">
      <calculatedColumnFormula>(800-doors[[#This Row],[H_mullion_out]]/2-doors[[#This Row],[H_threshold_out]]-doors[[#This Row],[H_betweenThresholdSash_out]]-doors[[#This Row],[H_sash_out]])/1000</calculatedColumnFormula>
    </tableColumn>
    <tableColumn id="25" xr3:uid="{823F87F4-F6C0-4AF0-B39A-C3A5EC150CF1}" name="Area frameSash" dataDxfId="11">
      <calculatedColumnFormula>doors[[#This Row],[A_frame_left]]+doors[[#This Row],[A_sash_left]]+doors[[#This Row],[A_frame_right]]+doors[[#This Row],[A_sash_right]]+doors[[#This Row],[A_frame_top]]+doors[[#This Row],[A_sash_top]]</calculatedColumnFormula>
    </tableColumn>
    <tableColumn id="26" xr3:uid="{E88E393F-722E-4E90-911B-91E680E2631A}" name="Area thresholdSash" dataDxfId="10">
      <calculatedColumnFormula>doors[[#This Row],[A_threshold]]+doors[[#This Row],[A_betweenThresholdSash]]+doors[[#This Row],[A_sash_bottom]]</calculatedColumnFormula>
    </tableColumn>
    <tableColumn id="27" xr3:uid="{61846EA1-683E-4B0E-8819-0E9B39746736}" name="Area glass" dataDxfId="9">
      <calculatedColumnFormula>doors[[#This Row],[Width_glass_top]]*doors[[#This Row],[Height_glass_top]]+doors[[#This Row],[Width_glass_bottom]]*doors[[#This Row],[Height_glass_bottom]]</calculatedColumnFormula>
    </tableColumn>
    <tableColumn id="28" xr3:uid="{29888FE3-CA51-4EEC-BFF2-6CA9D4273CCF}" name="Length glass" dataDxfId="8">
      <calculatedColumnFormula>(doors[[#This Row],[Width_glass_top]]+doors[[#This Row],[Height_glass_top]])*2+(doors[[#This Row],[Width_glass_bottom]]+doors[[#This Row],[Height_glass_bottom]])*2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6AF12B6-7908-4D23-BD28-4BA46AB09545}" name="System" displayName="System" ref="E1:E19" totalsRowShown="0">
  <autoFilter ref="E1:E19" xr:uid="{F6AF12B6-7908-4D23-BD28-4BA46AB09545}"/>
  <tableColumns count="1">
    <tableColumn id="1" xr3:uid="{15F24DBB-74DA-4204-A3E5-218BA5CF4C0B}" name="system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_Rw" displayName="Tab_Rw" ref="B12:C26" totalsRowShown="0" headerRowDxfId="7" tableBorderDxfId="6">
  <autoFilter ref="B12:C26" xr:uid="{00000000-0009-0000-0100-000005000000}">
    <filterColumn colId="0" hiddenButton="1"/>
    <filterColumn colId="1" hiddenButton="1"/>
  </autoFilter>
  <tableColumns count="2">
    <tableColumn id="1" xr3:uid="{00000000-0010-0000-0400-000001000000}" name="Rg" dataDxfId="5" dataCellStyle="Note"/>
    <tableColumn id="2" xr3:uid="{00000000-0010-0000-0400-000002000000}" name="Rw" dataDxfId="4" dataCellStyle="Output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_RwCtr" displayName="Tab_RwCtr" ref="B28:C41" totalsRowShown="0" headerRowDxfId="3" tableBorderDxfId="2">
  <autoFilter ref="B28:C41" xr:uid="{00000000-0009-0000-0100-000006000000}">
    <filterColumn colId="0" hiddenButton="1"/>
    <filterColumn colId="1" hiddenButton="1"/>
  </autoFilter>
  <tableColumns count="2">
    <tableColumn id="1" xr3:uid="{00000000-0010-0000-0500-000001000000}" name="Rg+Ctr" dataDxfId="1" dataCellStyle="Note"/>
    <tableColumn id="2" xr3:uid="{00000000-0010-0000-0500-000002000000}" name="Rw+Ctr" dataDxfId="0" dataCellStyle="Outpu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.budstandart.com/ua/catalog/doc-page.html?id_doc=90350" TargetMode="External"/><Relationship Id="rId13" Type="http://schemas.openxmlformats.org/officeDocument/2006/relationships/table" Target="../tables/table5.xml"/><Relationship Id="rId3" Type="http://schemas.openxmlformats.org/officeDocument/2006/relationships/hyperlink" Target="https://www.bundesverband-flachglas.de/en/downloads/" TargetMode="External"/><Relationship Id="rId7" Type="http://schemas.openxmlformats.org/officeDocument/2006/relationships/hyperlink" Target="http://online.budstandart.com/ua/catalog/doc-page?id_doc=98253" TargetMode="External"/><Relationship Id="rId12" Type="http://schemas.openxmlformats.org/officeDocument/2006/relationships/table" Target="../tables/table4.xml"/><Relationship Id="rId2" Type="http://schemas.openxmlformats.org/officeDocument/2006/relationships/hyperlink" Target="http://online.budstandart.com/ua/catalog/doc-page?id_doc=98252" TargetMode="External"/><Relationship Id="rId1" Type="http://schemas.openxmlformats.org/officeDocument/2006/relationships/hyperlink" Target="https://www.weiss-chemie.com/en/composite-panels/catalogs-brochures/" TargetMode="External"/><Relationship Id="rId6" Type="http://schemas.openxmlformats.org/officeDocument/2006/relationships/hyperlink" Target="https://www.agc-yourglass.com/configurator/en" TargetMode="External"/><Relationship Id="rId11" Type="http://schemas.openxmlformats.org/officeDocument/2006/relationships/table" Target="../tables/table3.xml"/><Relationship Id="rId5" Type="http://schemas.openxmlformats.org/officeDocument/2006/relationships/hyperlink" Target="https://www.bundesverband-flachglas.de/en/downloads/" TargetMode="External"/><Relationship Id="rId10" Type="http://schemas.openxmlformats.org/officeDocument/2006/relationships/table" Target="../tables/table2.xml"/><Relationship Id="rId4" Type="http://schemas.openxmlformats.org/officeDocument/2006/relationships/hyperlink" Target="http://online.budstandart.com/ua/catalog/doc-page.html?id_doc=90350" TargetMode="External"/><Relationship Id="rId9" Type="http://schemas.openxmlformats.org/officeDocument/2006/relationships/printerSettings" Target="../printerSettings/printerSettings2.bin"/><Relationship Id="rId1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"/>
  <sheetViews>
    <sheetView tabSelected="1" zoomScaleNormal="100" workbookViewId="0">
      <selection activeCell="B2" sqref="B2"/>
    </sheetView>
  </sheetViews>
  <sheetFormatPr defaultRowHeight="15" x14ac:dyDescent="0.25"/>
  <cols>
    <col min="1" max="1" width="3" bestFit="1" customWidth="1"/>
    <col min="2" max="2" width="30.5703125" bestFit="1" customWidth="1"/>
    <col min="3" max="12" width="8.7109375" customWidth="1"/>
    <col min="13" max="16" width="11.7109375" customWidth="1"/>
    <col min="17" max="20" width="11.7109375" hidden="1" customWidth="1"/>
    <col min="21" max="22" width="11.7109375" style="21" hidden="1" customWidth="1"/>
    <col min="23" max="26" width="11.7109375" customWidth="1"/>
  </cols>
  <sheetData>
    <row r="1" spans="1:22" ht="45" x14ac:dyDescent="0.25">
      <c r="B1" s="49" t="s">
        <v>247</v>
      </c>
      <c r="C1" s="11" t="s">
        <v>236</v>
      </c>
      <c r="D1" s="11" t="s">
        <v>237</v>
      </c>
      <c r="E1" s="11" t="s">
        <v>238</v>
      </c>
      <c r="F1" s="11" t="s">
        <v>239</v>
      </c>
      <c r="G1" s="11" t="s">
        <v>240</v>
      </c>
      <c r="H1" s="11" t="s">
        <v>241</v>
      </c>
      <c r="I1" s="11" t="s">
        <v>245</v>
      </c>
      <c r="J1" s="11" t="s">
        <v>244</v>
      </c>
      <c r="K1" s="11" t="s">
        <v>243</v>
      </c>
      <c r="L1" s="11" t="s">
        <v>246</v>
      </c>
    </row>
    <row r="2" spans="1:22" ht="28.5" x14ac:dyDescent="0.45">
      <c r="B2" s="51" t="s">
        <v>180</v>
      </c>
      <c r="C2" s="47">
        <f>IFERROR(IF(SEARCH("window",system_selection)=1,INDEX(windows[],MATCH(system_selection,windows[windows],0),7)),INDEX(doors[],MATCH(system_selection,doors[doors],0),7))</f>
        <v>1.2</v>
      </c>
      <c r="D2" s="48">
        <f>IFERROR(IF(SEARCH("window",system_selection)=1,INDEX(windows[],MATCH(system_selection,windows[windows],0),25)),INDEX(doors[],MATCH(system_selection,doors[doors],0),25))</f>
        <v>0.54779999999999995</v>
      </c>
      <c r="E2" s="47">
        <f>IFERROR(IF(SEARCH("window",system_selection)=1,INDEX(windows[],MATCH(system_selection,windows[windows],0),8)),INDEX(doors[],MATCH(system_selection,doors[doors],0),8))</f>
        <v>0</v>
      </c>
      <c r="F2" s="48">
        <f>IFERROR(IF(SEARCH("window",system_selection)=1,INDEX(windows[],MATCH(system_selection,windows[windows],0),18)),INDEX(doors[],MATCH(system_selection,doors[doors],0),18))</f>
        <v>0</v>
      </c>
      <c r="G2" s="47">
        <f>IFERROR(IF(SEARCH("window",system_selection)=1,INDEX(windows[],MATCH(system_selection,windows[windows],0),9)),INDEX(doors[],MATCH(system_selection,doors[doors],0),9))</f>
        <v>0</v>
      </c>
      <c r="H2" s="48">
        <f>IFERROR(IF(SEARCH("window",system_selection)=1,INDEX(windows[],MATCH(system_selection,windows[windows],0),26)),INDEX(doors[],MATCH(system_selection,doors[doors],0),26))</f>
        <v>0</v>
      </c>
      <c r="I2" s="50" t="s">
        <v>242</v>
      </c>
      <c r="J2" s="48">
        <f>IFERROR(IF(SEARCH("window",system_selection)=1,INDEX(windows[],MATCH(system_selection,windows[windows],0),27)),INDEX(doors[],MATCH(system_selection,doors[doors],0),27))</f>
        <v>1.2726</v>
      </c>
      <c r="K2" s="11" t="s">
        <v>242</v>
      </c>
      <c r="L2" s="48">
        <f>IFERROR(IF(SEARCH("window",system_selection)=1,INDEX(windows[],MATCH(system_selection,windows[windows],0),28)),INDEX(doors[],MATCH(system_selection,doors[doors],0),28))</f>
        <v>4.54</v>
      </c>
      <c r="M2" s="52" t="s">
        <v>253</v>
      </c>
      <c r="N2" s="52"/>
      <c r="O2" s="52"/>
      <c r="P2" s="52"/>
    </row>
    <row r="4" spans="1:22" ht="30" x14ac:dyDescent="0.25">
      <c r="A4" s="2" t="s">
        <v>0</v>
      </c>
      <c r="B4" s="2" t="s">
        <v>248</v>
      </c>
      <c r="C4" s="2" t="s">
        <v>235</v>
      </c>
      <c r="D4" s="2" t="s">
        <v>1</v>
      </c>
      <c r="E4" s="2" t="s">
        <v>133</v>
      </c>
      <c r="F4" s="2" t="s">
        <v>134</v>
      </c>
      <c r="G4" s="2" t="s">
        <v>89</v>
      </c>
      <c r="H4" s="2" t="s">
        <v>38</v>
      </c>
      <c r="I4" s="2" t="s">
        <v>88</v>
      </c>
      <c r="J4" s="11" t="s">
        <v>2</v>
      </c>
      <c r="K4" s="11" t="s">
        <v>91</v>
      </c>
      <c r="L4" s="11" t="s">
        <v>90</v>
      </c>
      <c r="M4" s="37" t="s">
        <v>249</v>
      </c>
      <c r="N4" s="37" t="s">
        <v>250</v>
      </c>
      <c r="O4" s="46" t="s">
        <v>251</v>
      </c>
      <c r="P4" s="46" t="s">
        <v>252</v>
      </c>
      <c r="Q4" s="40" t="s">
        <v>132</v>
      </c>
      <c r="R4" s="40" t="s">
        <v>87</v>
      </c>
      <c r="S4" s="40" t="s">
        <v>231</v>
      </c>
      <c r="T4" s="40" t="s">
        <v>232</v>
      </c>
      <c r="U4" s="41" t="s">
        <v>233</v>
      </c>
      <c r="V4" s="41" t="s">
        <v>234</v>
      </c>
    </row>
    <row r="5" spans="1:22" hidden="1" x14ac:dyDescent="0.25">
      <c r="B5" t="s">
        <v>4</v>
      </c>
      <c r="C5" s="5">
        <v>4</v>
      </c>
      <c r="D5" s="6">
        <v>5.8</v>
      </c>
      <c r="E5" s="20">
        <v>90</v>
      </c>
      <c r="F5" s="20">
        <v>86</v>
      </c>
      <c r="G5" s="7">
        <v>30</v>
      </c>
      <c r="H5" s="7">
        <v>28</v>
      </c>
      <c r="I5" s="7">
        <v>26</v>
      </c>
      <c r="J5" s="12"/>
      <c r="K5" s="12"/>
      <c r="L5" s="12"/>
      <c r="M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5" s="5">
        <v>0</v>
      </c>
      <c r="R5" s="5">
        <v>0</v>
      </c>
      <c r="S5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5" s="5">
        <f>IF(DoP[[#This Row],[if_IGU]]=1,psi_swisspacer_ultimate_1k,
IF(DoP[[#This Row],[if_IGU]]=2,psi_swisspacer_ultimate_2k,
0))</f>
        <v>0</v>
      </c>
      <c r="U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" spans="1:22" hidden="1" x14ac:dyDescent="0.25">
      <c r="B6" t="s">
        <v>5</v>
      </c>
      <c r="C6" s="5">
        <v>6</v>
      </c>
      <c r="D6" s="6">
        <v>5.7</v>
      </c>
      <c r="E6" s="20">
        <v>89</v>
      </c>
      <c r="F6" s="20">
        <v>84</v>
      </c>
      <c r="G6" s="7">
        <v>31</v>
      </c>
      <c r="H6" s="7">
        <v>29</v>
      </c>
      <c r="I6" s="7">
        <v>28</v>
      </c>
      <c r="J6" s="12"/>
      <c r="K6" s="12"/>
      <c r="L6" s="12"/>
      <c r="M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" s="5">
        <v>0</v>
      </c>
      <c r="R6" s="5">
        <v>0</v>
      </c>
      <c r="S6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6" s="5">
        <f>IF(DoP[[#This Row],[if_IGU]]=1,psi_swisspacer_ultimate_1k,
IF(DoP[[#This Row],[if_IGU]]=2,psi_swisspacer_ultimate_2k,
0))</f>
        <v>0</v>
      </c>
      <c r="U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7" spans="1:22" x14ac:dyDescent="0.25">
      <c r="A7">
        <v>1</v>
      </c>
      <c r="B7" s="1" t="s">
        <v>3</v>
      </c>
      <c r="C7" s="5">
        <v>24</v>
      </c>
      <c r="D7" s="6">
        <v>2.7</v>
      </c>
      <c r="E7" s="20">
        <v>81</v>
      </c>
      <c r="F7" s="20">
        <v>77</v>
      </c>
      <c r="G7" s="7">
        <v>30</v>
      </c>
      <c r="H7" s="7">
        <v>29</v>
      </c>
      <c r="I7" s="7">
        <v>26</v>
      </c>
      <c r="J7" s="12">
        <f>INDEX(Tab_Rw[],MATCH(DoP[[#This Row],[Rg]],Tab_Rw[Rg],0),2)</f>
        <v>33</v>
      </c>
      <c r="K7" s="12">
        <v>-1</v>
      </c>
      <c r="L7" s="12">
        <f>INDEX(Tab_RwCtr[],MATCH(DoP[[#This Row],[R+Ctr]],Tab_RwCtr[Rg+Ctr],0),2)-DoP[[#This Row],[Rw]]</f>
        <v>-5</v>
      </c>
      <c r="M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7" s="5" t="b">
        <v>1</v>
      </c>
      <c r="R7" s="5">
        <v>1</v>
      </c>
      <c r="S7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7" s="5">
        <f>IF(DoP[[#This Row],[if_IGU]]=1,psi_swisspacer_ultimate_1k,
IF(DoP[[#This Row],[if_IGU]]=2,psi_swisspacer_ultimate_2k,
0))</f>
        <v>3.2000000000000001E-2</v>
      </c>
      <c r="U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8" spans="1:22" hidden="1" x14ac:dyDescent="0.25">
      <c r="B8" s="1" t="s">
        <v>135</v>
      </c>
      <c r="C8" s="5">
        <v>24</v>
      </c>
      <c r="D8" s="6">
        <v>2.7</v>
      </c>
      <c r="E8" s="20" t="s">
        <v>136</v>
      </c>
      <c r="F8" s="20" t="s">
        <v>137</v>
      </c>
      <c r="G8" s="7">
        <v>30</v>
      </c>
      <c r="H8" s="7">
        <v>29</v>
      </c>
      <c r="I8" s="7">
        <v>26</v>
      </c>
      <c r="J8" s="12">
        <f>INDEX(Tab_Rw[],MATCH(DoP[[#This Row],[Rg]],Tab_Rw[Rg],0),2)</f>
        <v>33</v>
      </c>
      <c r="K8" s="12"/>
      <c r="L8" s="12">
        <f>INDEX(Tab_RwCtr[],MATCH(DoP[[#This Row],[R+Ctr]],Tab_RwCtr[Rg+Ctr],0),2)-DoP[[#This Row],[Rw]]</f>
        <v>-5</v>
      </c>
      <c r="M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8" s="5" t="b">
        <v>1</v>
      </c>
      <c r="R8" s="5">
        <v>1</v>
      </c>
      <c r="S8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8" s="5">
        <f>IF(DoP[[#This Row],[if_IGU]]=1,psi_swisspacer_ultimate_1k,
IF(DoP[[#This Row],[if_IGU]]=2,psi_swisspacer_ultimate_2k,
0))</f>
        <v>3.2000000000000001E-2</v>
      </c>
      <c r="U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" spans="1:22" hidden="1" x14ac:dyDescent="0.25">
      <c r="B9" s="1" t="s">
        <v>7</v>
      </c>
      <c r="C9" s="5">
        <v>24</v>
      </c>
      <c r="D9" s="6">
        <v>2.6</v>
      </c>
      <c r="E9" s="20">
        <v>81</v>
      </c>
      <c r="F9" s="20">
        <v>77</v>
      </c>
      <c r="G9" s="7">
        <v>30</v>
      </c>
      <c r="H9" s="7">
        <v>29</v>
      </c>
      <c r="I9" s="7">
        <v>26</v>
      </c>
      <c r="J9" s="12">
        <f>INDEX(Tab_Rw[],MATCH(DoP[[#This Row],[Rg]],Tab_Rw[Rg],0),2)</f>
        <v>33</v>
      </c>
      <c r="K9" s="12">
        <v>-1</v>
      </c>
      <c r="L9" s="12">
        <f>INDEX(Tab_RwCtr[],MATCH(DoP[[#This Row],[R+Ctr]],Tab_RwCtr[Rg+Ctr],0),2)-DoP[[#This Row],[Rw]]</f>
        <v>-5</v>
      </c>
      <c r="M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" s="5" t="b">
        <v>1</v>
      </c>
      <c r="R9" s="5">
        <v>1</v>
      </c>
      <c r="S9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9" s="5">
        <f>IF(DoP[[#This Row],[if_IGU]]=1,psi_swisspacer_ultimate_1k,
IF(DoP[[#This Row],[if_IGU]]=2,psi_swisspacer_ultimate_2k,
0))</f>
        <v>3.2000000000000001E-2</v>
      </c>
      <c r="U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0" spans="1:22" hidden="1" x14ac:dyDescent="0.25">
      <c r="B10" s="1" t="s">
        <v>138</v>
      </c>
      <c r="C10" s="5">
        <v>24</v>
      </c>
      <c r="D10" s="6">
        <v>2.6</v>
      </c>
      <c r="E10" s="20" t="s">
        <v>136</v>
      </c>
      <c r="F10" s="20" t="s">
        <v>139</v>
      </c>
      <c r="G10" s="7">
        <v>30</v>
      </c>
      <c r="H10" s="7">
        <v>29</v>
      </c>
      <c r="I10" s="7">
        <v>26</v>
      </c>
      <c r="J10" s="12">
        <f>INDEX(Tab_Rw[],MATCH(DoP[[#This Row],[Rg]],Tab_Rw[Rg],0),2)</f>
        <v>33</v>
      </c>
      <c r="K10" s="12"/>
      <c r="L10" s="12">
        <f>INDEX(Tab_RwCtr[],MATCH(DoP[[#This Row],[R+Ctr]],Tab_RwCtr[Rg+Ctr],0),2)-DoP[[#This Row],[Rw]]</f>
        <v>-5</v>
      </c>
      <c r="M1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0" s="5" t="b">
        <v>1</v>
      </c>
      <c r="R10" s="5">
        <v>1</v>
      </c>
      <c r="S10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10" s="5">
        <f>IF(DoP[[#This Row],[if_IGU]]=1,psi_swisspacer_ultimate_1k,
IF(DoP[[#This Row],[if_IGU]]=2,psi_swisspacer_ultimate_2k,
0))</f>
        <v>3.2000000000000001E-2</v>
      </c>
      <c r="U1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1" spans="1:22" x14ac:dyDescent="0.25">
      <c r="A11">
        <v>2</v>
      </c>
      <c r="B11" s="1" t="s">
        <v>8</v>
      </c>
      <c r="C11" s="5">
        <v>24</v>
      </c>
      <c r="D11" s="45">
        <v>1.4</v>
      </c>
      <c r="E11" s="20">
        <v>78</v>
      </c>
      <c r="F11" s="20">
        <v>60</v>
      </c>
      <c r="G11" s="7">
        <v>30</v>
      </c>
      <c r="H11" s="7">
        <v>29</v>
      </c>
      <c r="I11" s="7">
        <v>26</v>
      </c>
      <c r="J11" s="12">
        <f>INDEX(Tab_Rw[],MATCH(DoP[[#This Row],[Rg]],Tab_Rw[Rg],0),2)</f>
        <v>33</v>
      </c>
      <c r="K11" s="12">
        <v>-1</v>
      </c>
      <c r="L11" s="12">
        <f>INDEX(Tab_RwCtr[],MATCH(DoP[[#This Row],[R+Ctr]],Tab_RwCtr[Rg+Ctr],0),2)-DoP[[#This Row],[Rw]]</f>
        <v>-5</v>
      </c>
      <c r="M1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1" s="5" t="b">
        <v>0</v>
      </c>
      <c r="R11" s="5">
        <v>1</v>
      </c>
      <c r="S11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1" s="5">
        <f>IF(DoP[[#This Row],[if_IGU]]=1,psi_swisspacer_ultimate_1k,
IF(DoP[[#This Row],[if_IGU]]=2,psi_swisspacer_ultimate_2k,
0))</f>
        <v>3.2000000000000001E-2</v>
      </c>
      <c r="U1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2" spans="1:22" hidden="1" x14ac:dyDescent="0.25">
      <c r="B12" s="1" t="s">
        <v>140</v>
      </c>
      <c r="C12" s="5">
        <v>24</v>
      </c>
      <c r="D12" s="6">
        <v>1.4</v>
      </c>
      <c r="E12" s="20" t="s">
        <v>139</v>
      </c>
      <c r="F12" s="20" t="s">
        <v>141</v>
      </c>
      <c r="G12" s="7">
        <v>30</v>
      </c>
      <c r="H12" s="7">
        <v>29</v>
      </c>
      <c r="I12" s="7">
        <v>26</v>
      </c>
      <c r="J12" s="12">
        <f>INDEX(Tab_Rw[],MATCH(DoP[[#This Row],[Rg]],Tab_Rw[Rg],0),2)</f>
        <v>33</v>
      </c>
      <c r="K12" s="12"/>
      <c r="L12" s="12">
        <f>INDEX(Tab_RwCtr[],MATCH(DoP[[#This Row],[R+Ctr]],Tab_RwCtr[Rg+Ctr],0),2)-DoP[[#This Row],[Rw]]</f>
        <v>-5</v>
      </c>
      <c r="M1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2" s="5" t="b">
        <v>0</v>
      </c>
      <c r="R12" s="5">
        <v>1</v>
      </c>
      <c r="S12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2" s="5">
        <f>IF(DoP[[#This Row],[if_IGU]]=1,psi_swisspacer_ultimate_1k,
IF(DoP[[#This Row],[if_IGU]]=2,psi_swisspacer_ultimate_2k,
0))</f>
        <v>3.2000000000000001E-2</v>
      </c>
      <c r="U1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3" spans="1:22" x14ac:dyDescent="0.25">
      <c r="A13">
        <v>3</v>
      </c>
      <c r="B13" s="39" t="s">
        <v>9</v>
      </c>
      <c r="C13" s="5">
        <v>24</v>
      </c>
      <c r="D13" s="44">
        <v>1.1000000000000001</v>
      </c>
      <c r="E13" s="20">
        <v>78</v>
      </c>
      <c r="F13" s="20">
        <v>60</v>
      </c>
      <c r="G13" s="7">
        <v>30</v>
      </c>
      <c r="H13" s="7">
        <v>29</v>
      </c>
      <c r="I13" s="7">
        <v>26</v>
      </c>
      <c r="J13" s="12">
        <f>INDEX(Tab_Rw[],MATCH(DoP[[#This Row],[Rg]],Tab_Rw[Rg],0),2)</f>
        <v>33</v>
      </c>
      <c r="K13" s="12">
        <v>-1</v>
      </c>
      <c r="L13" s="12">
        <f>INDEX(Tab_RwCtr[],MATCH(DoP[[#This Row],[R+Ctr]],Tab_RwCtr[Rg+Ctr],0),2)-DoP[[#This Row],[Rw]]</f>
        <v>-5</v>
      </c>
      <c r="M1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3" s="5" t="b">
        <v>0</v>
      </c>
      <c r="R13" s="5">
        <v>1</v>
      </c>
      <c r="S13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3" s="5">
        <f>IF(DoP[[#This Row],[if_IGU]]=1,psi_swisspacer_ultimate_1k,
IF(DoP[[#This Row],[if_IGU]]=2,psi_swisspacer_ultimate_2k,
0))</f>
        <v>3.2000000000000001E-2</v>
      </c>
      <c r="U1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4" spans="1:22" hidden="1" x14ac:dyDescent="0.25">
      <c r="B14" s="1" t="s">
        <v>142</v>
      </c>
      <c r="C14" s="5">
        <v>24</v>
      </c>
      <c r="D14" s="6">
        <v>1.1000000000000001</v>
      </c>
      <c r="E14" s="20" t="s">
        <v>139</v>
      </c>
      <c r="F14" s="20" t="s">
        <v>141</v>
      </c>
      <c r="G14" s="7">
        <v>30</v>
      </c>
      <c r="H14" s="7">
        <v>29</v>
      </c>
      <c r="I14" s="7">
        <v>26</v>
      </c>
      <c r="J14" s="12">
        <f>INDEX(Tab_Rw[],MATCH(DoP[[#This Row],[Rg]],Tab_Rw[Rg],0),2)</f>
        <v>33</v>
      </c>
      <c r="K14" s="12"/>
      <c r="L14" s="12">
        <f>INDEX(Tab_RwCtr[],MATCH(DoP[[#This Row],[R+Ctr]],Tab_RwCtr[Rg+Ctr],0),2)-DoP[[#This Row],[Rw]]</f>
        <v>-5</v>
      </c>
      <c r="M1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4" s="5" t="b">
        <v>0</v>
      </c>
      <c r="R14" s="5">
        <v>1</v>
      </c>
      <c r="S14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4" s="5">
        <f>IF(DoP[[#This Row],[if_IGU]]=1,psi_swisspacer_ultimate_1k,
IF(DoP[[#This Row],[if_IGU]]=2,psi_swisspacer_ultimate_2k,
0))</f>
        <v>3.2000000000000001E-2</v>
      </c>
      <c r="U14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4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5" spans="1:22" hidden="1" x14ac:dyDescent="0.25">
      <c r="B15" s="1" t="s">
        <v>10</v>
      </c>
      <c r="C15" s="5">
        <v>24</v>
      </c>
      <c r="D15" s="6">
        <v>1.3</v>
      </c>
      <c r="E15" s="20">
        <v>76</v>
      </c>
      <c r="F15" s="20">
        <v>51</v>
      </c>
      <c r="G15" s="7">
        <v>30</v>
      </c>
      <c r="H15" s="7">
        <v>29</v>
      </c>
      <c r="I15" s="7">
        <v>26</v>
      </c>
      <c r="J15" s="12">
        <f>INDEX(Tab_Rw[],MATCH(DoP[[#This Row],[Rg]],Tab_Rw[Rg],0),2)</f>
        <v>33</v>
      </c>
      <c r="K15" s="12">
        <v>-1</v>
      </c>
      <c r="L15" s="12">
        <f>INDEX(Tab_RwCtr[],MATCH(DoP[[#This Row],[R+Ctr]],Tab_RwCtr[Rg+Ctr],0),2)-DoP[[#This Row],[Rw]]</f>
        <v>-5</v>
      </c>
      <c r="M1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5" s="5" t="b">
        <v>0</v>
      </c>
      <c r="R15" s="5">
        <v>1</v>
      </c>
      <c r="S15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5" s="5">
        <f>IF(DoP[[#This Row],[if_IGU]]=1,psi_swisspacer_ultimate_1k,
IF(DoP[[#This Row],[if_IGU]]=2,psi_swisspacer_ultimate_2k,
0))</f>
        <v>3.2000000000000001E-2</v>
      </c>
      <c r="U1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6" spans="1:22" hidden="1" x14ac:dyDescent="0.25">
      <c r="B16" s="1" t="s">
        <v>11</v>
      </c>
      <c r="C16" s="5">
        <v>24</v>
      </c>
      <c r="D16" s="6">
        <v>1.1000000000000001</v>
      </c>
      <c r="E16" s="20">
        <v>76</v>
      </c>
      <c r="F16" s="20">
        <v>51</v>
      </c>
      <c r="G16" s="7">
        <v>30</v>
      </c>
      <c r="H16" s="7">
        <v>29</v>
      </c>
      <c r="I16" s="7">
        <v>26</v>
      </c>
      <c r="J16" s="12">
        <f>INDEX(Tab_Rw[],MATCH(DoP[[#This Row],[Rg]],Tab_Rw[Rg],0),2)</f>
        <v>33</v>
      </c>
      <c r="K16" s="12">
        <v>-1</v>
      </c>
      <c r="L16" s="12">
        <f>INDEX(Tab_RwCtr[],MATCH(DoP[[#This Row],[R+Ctr]],Tab_RwCtr[Rg+Ctr],0),2)-DoP[[#This Row],[Rw]]</f>
        <v>-5</v>
      </c>
      <c r="M1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6" s="5" t="b">
        <v>0</v>
      </c>
      <c r="R16" s="5">
        <v>1</v>
      </c>
      <c r="S16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6" s="5">
        <f>IF(DoP[[#This Row],[if_IGU]]=1,psi_swisspacer_ultimate_1k,
IF(DoP[[#This Row],[if_IGU]]=2,psi_swisspacer_ultimate_2k,
0))</f>
        <v>3.2000000000000001E-2</v>
      </c>
      <c r="U1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7" spans="2:22" hidden="1" x14ac:dyDescent="0.25">
      <c r="B17" s="1" t="s">
        <v>39</v>
      </c>
      <c r="C17" s="5">
        <v>24</v>
      </c>
      <c r="D17" s="6">
        <v>1.1000000000000001</v>
      </c>
      <c r="E17" s="20">
        <v>77</v>
      </c>
      <c r="F17" s="20">
        <v>59</v>
      </c>
      <c r="G17" s="7">
        <v>36</v>
      </c>
      <c r="H17" s="7">
        <v>35</v>
      </c>
      <c r="I17" s="7">
        <v>31</v>
      </c>
      <c r="J17" s="12">
        <f>INDEX(Tab_Rw[],MATCH(DoP[[#This Row],[Rg]],Tab_Rw[Rg],0),2)</f>
        <v>36</v>
      </c>
      <c r="K17" s="12">
        <v>-1</v>
      </c>
      <c r="L17" s="12">
        <f>INDEX(Tab_RwCtr[],MATCH(DoP[[#This Row],[R+Ctr]],Tab_RwCtr[Rg+Ctr],0),2)-DoP[[#This Row],[Rw]]</f>
        <v>-5</v>
      </c>
      <c r="M1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7" s="5" t="b">
        <v>0</v>
      </c>
      <c r="R17" s="5">
        <v>1</v>
      </c>
      <c r="S17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7" s="5">
        <f>IF(DoP[[#This Row],[if_IGU]]=1,psi_swisspacer_ultimate_1k,
IF(DoP[[#This Row],[if_IGU]]=2,psi_swisspacer_ultimate_2k,
0))</f>
        <v>3.2000000000000001E-2</v>
      </c>
      <c r="U1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8" spans="2:22" hidden="1" x14ac:dyDescent="0.25">
      <c r="B18" s="1" t="s">
        <v>42</v>
      </c>
      <c r="C18" s="5">
        <v>24</v>
      </c>
      <c r="D18" s="6">
        <v>1.1000000000000001</v>
      </c>
      <c r="E18" s="20">
        <v>78</v>
      </c>
      <c r="F18" s="20">
        <v>56</v>
      </c>
      <c r="G18" s="7">
        <v>35</v>
      </c>
      <c r="H18" s="7">
        <v>34</v>
      </c>
      <c r="I18" s="7">
        <v>30</v>
      </c>
      <c r="J18" s="12">
        <f>INDEX(Tab_Rw[],MATCH(DoP[[#This Row],[Rg]],Tab_Rw[Rg],0),2)</f>
        <v>35</v>
      </c>
      <c r="K18" s="12">
        <v>-1</v>
      </c>
      <c r="L18" s="12">
        <f>INDEX(Tab_RwCtr[],MATCH(DoP[[#This Row],[R+Ctr]],Tab_RwCtr[Rg+Ctr],0),2)-DoP[[#This Row],[Rw]]</f>
        <v>-4</v>
      </c>
      <c r="M1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8" s="5" t="b">
        <v>0</v>
      </c>
      <c r="R18" s="5">
        <v>1</v>
      </c>
      <c r="S18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8" s="5">
        <f>IF(DoP[[#This Row],[if_IGU]]=1,psi_swisspacer_ultimate_1k,
IF(DoP[[#This Row],[if_IGU]]=2,psi_swisspacer_ultimate_2k,
0))</f>
        <v>3.2000000000000001E-2</v>
      </c>
      <c r="U1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9" spans="2:22" hidden="1" x14ac:dyDescent="0.25">
      <c r="B19" s="1" t="s">
        <v>43</v>
      </c>
      <c r="C19" s="5">
        <v>24</v>
      </c>
      <c r="D19" s="6">
        <v>1.3</v>
      </c>
      <c r="E19" s="20">
        <v>77</v>
      </c>
      <c r="F19" s="20">
        <v>54</v>
      </c>
      <c r="G19" s="7">
        <v>36</v>
      </c>
      <c r="H19" s="7">
        <v>34</v>
      </c>
      <c r="I19" s="7">
        <v>30</v>
      </c>
      <c r="J19" s="12">
        <f>INDEX(Tab_Rw[],MATCH(DoP[[#This Row],[Rg]],Tab_Rw[Rg],0),2)</f>
        <v>36</v>
      </c>
      <c r="K19" s="12">
        <v>-1</v>
      </c>
      <c r="L19" s="12">
        <f>INDEX(Tab_RwCtr[],MATCH(DoP[[#This Row],[R+Ctr]],Tab_RwCtr[Rg+Ctr],0),2)-DoP[[#This Row],[Rw]]</f>
        <v>-5</v>
      </c>
      <c r="M1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1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1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1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19" s="5" t="b">
        <v>0</v>
      </c>
      <c r="R19" s="5">
        <v>1</v>
      </c>
      <c r="S19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19" s="5">
        <f>IF(DoP[[#This Row],[if_IGU]]=1,psi_swisspacer_ultimate_1k,
IF(DoP[[#This Row],[if_IGU]]=2,psi_swisspacer_ultimate_2k,
0))</f>
        <v>3.2000000000000001E-2</v>
      </c>
      <c r="U1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1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0" spans="2:22" hidden="1" x14ac:dyDescent="0.25">
      <c r="B20" s="1" t="s">
        <v>69</v>
      </c>
      <c r="C20" s="5">
        <v>24</v>
      </c>
      <c r="D20" s="6">
        <v>1.4</v>
      </c>
      <c r="E20" s="20">
        <v>77</v>
      </c>
      <c r="F20" s="20">
        <v>53</v>
      </c>
      <c r="G20" s="7">
        <v>35</v>
      </c>
      <c r="H20" s="7">
        <v>33</v>
      </c>
      <c r="I20" s="7">
        <v>29</v>
      </c>
      <c r="J20" s="12">
        <f>INDEX(Tab_Rw[],MATCH(DoP[[#This Row],[Rg]],Tab_Rw[Rg],0),2)</f>
        <v>35</v>
      </c>
      <c r="K20" s="12">
        <v>-1</v>
      </c>
      <c r="L20" s="12">
        <f>INDEX(Tab_RwCtr[],MATCH(DoP[[#This Row],[R+Ctr]],Tab_RwCtr[Rg+Ctr],0),2)-DoP[[#This Row],[Rw]]</f>
        <v>-5</v>
      </c>
      <c r="M2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0" s="5" t="b">
        <v>0</v>
      </c>
      <c r="R20" s="5">
        <v>1</v>
      </c>
      <c r="S20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0" s="5">
        <f>IF(DoP[[#This Row],[if_IGU]]=1,psi_swisspacer_ultimate_1k,
IF(DoP[[#This Row],[if_IGU]]=2,psi_swisspacer_ultimate_2k,
0))</f>
        <v>3.2000000000000001E-2</v>
      </c>
      <c r="U2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1" spans="2:22" hidden="1" x14ac:dyDescent="0.25">
      <c r="B21" s="1" t="s">
        <v>6</v>
      </c>
      <c r="C21" s="5">
        <v>32</v>
      </c>
      <c r="D21" s="6">
        <v>2.8</v>
      </c>
      <c r="E21" s="20">
        <v>81</v>
      </c>
      <c r="F21" s="20">
        <v>77</v>
      </c>
      <c r="G21" s="7">
        <v>32</v>
      </c>
      <c r="H21" s="7">
        <v>31</v>
      </c>
      <c r="I21" s="7">
        <v>28</v>
      </c>
      <c r="J21" s="12">
        <f>INDEX(Tab_Rw[],MATCH(DoP[[#This Row],[Rg]],Tab_Rw[Rg],0),2)</f>
        <v>34</v>
      </c>
      <c r="K21" s="12">
        <v>-1</v>
      </c>
      <c r="L21" s="12">
        <f>INDEX(Tab_RwCtr[],MATCH(DoP[[#This Row],[R+Ctr]],Tab_RwCtr[Rg+Ctr],0),2)-DoP[[#This Row],[Rw]]</f>
        <v>-4</v>
      </c>
      <c r="M2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1" s="5" t="b">
        <v>1</v>
      </c>
      <c r="R21" s="5">
        <v>1</v>
      </c>
      <c r="S21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21" s="5">
        <f>IF(DoP[[#This Row],[if_IGU]]=1,psi_swisspacer_ultimate_1k,
IF(DoP[[#This Row],[if_IGU]]=2,psi_swisspacer_ultimate_2k,
0))</f>
        <v>3.2000000000000001E-2</v>
      </c>
      <c r="U2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2" spans="2:22" hidden="1" x14ac:dyDescent="0.25">
      <c r="B22" s="1" t="s">
        <v>143</v>
      </c>
      <c r="C22" s="5">
        <v>32</v>
      </c>
      <c r="D22" s="6">
        <v>2.8</v>
      </c>
      <c r="E22" s="20" t="s">
        <v>136</v>
      </c>
      <c r="F22" s="20" t="s">
        <v>137</v>
      </c>
      <c r="G22" s="7">
        <v>32</v>
      </c>
      <c r="H22" s="7">
        <v>31</v>
      </c>
      <c r="I22" s="7">
        <v>28</v>
      </c>
      <c r="J22" s="12">
        <f>INDEX(Tab_Rw[],MATCH(DoP[[#This Row],[Rg]],Tab_Rw[Rg],0),2)</f>
        <v>34</v>
      </c>
      <c r="K22" s="12"/>
      <c r="L22" s="12">
        <f>INDEX(Tab_RwCtr[],MATCH(DoP[[#This Row],[R+Ctr]],Tab_RwCtr[Rg+Ctr],0),2)-DoP[[#This Row],[Rw]]</f>
        <v>-4</v>
      </c>
      <c r="M2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2" s="5" t="b">
        <v>1</v>
      </c>
      <c r="R22" s="5">
        <v>1</v>
      </c>
      <c r="S22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22" s="5">
        <f>IF(DoP[[#This Row],[if_IGU]]=1,psi_swisspacer_ultimate_1k,
IF(DoP[[#This Row],[if_IGU]]=2,psi_swisspacer_ultimate_2k,
0))</f>
        <v>3.2000000000000001E-2</v>
      </c>
      <c r="U2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3" spans="2:22" hidden="1" x14ac:dyDescent="0.25">
      <c r="B23" s="1" t="s">
        <v>12</v>
      </c>
      <c r="C23" s="5">
        <v>32</v>
      </c>
      <c r="D23" s="6">
        <v>1.4</v>
      </c>
      <c r="E23" s="20">
        <v>78</v>
      </c>
      <c r="F23" s="20">
        <v>60</v>
      </c>
      <c r="G23" s="7">
        <v>32</v>
      </c>
      <c r="H23" s="7">
        <v>31</v>
      </c>
      <c r="I23" s="7">
        <v>28</v>
      </c>
      <c r="J23" s="12">
        <f>INDEX(Tab_Rw[],MATCH(DoP[[#This Row],[Rg]],Tab_Rw[Rg],0),2)</f>
        <v>34</v>
      </c>
      <c r="K23" s="12">
        <v>-1</v>
      </c>
      <c r="L23" s="12">
        <f>INDEX(Tab_RwCtr[],MATCH(DoP[[#This Row],[R+Ctr]],Tab_RwCtr[Rg+Ctr],0),2)-DoP[[#This Row],[Rw]]</f>
        <v>-4</v>
      </c>
      <c r="M2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3" s="5" t="b">
        <v>0</v>
      </c>
      <c r="R23" s="5">
        <v>1</v>
      </c>
      <c r="S23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3" s="5">
        <f>IF(DoP[[#This Row],[if_IGU]]=1,psi_swisspacer_ultimate_1k,
IF(DoP[[#This Row],[if_IGU]]=2,psi_swisspacer_ultimate_2k,
0))</f>
        <v>3.2000000000000001E-2</v>
      </c>
      <c r="U2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4" spans="2:22" hidden="1" x14ac:dyDescent="0.25">
      <c r="B24" s="1" t="s">
        <v>144</v>
      </c>
      <c r="C24" s="5">
        <v>32</v>
      </c>
      <c r="D24" s="6">
        <v>1.4</v>
      </c>
      <c r="E24" s="20" t="s">
        <v>139</v>
      </c>
      <c r="F24" s="20" t="s">
        <v>141</v>
      </c>
      <c r="G24" s="7">
        <v>32</v>
      </c>
      <c r="H24" s="7">
        <v>31</v>
      </c>
      <c r="I24" s="7">
        <v>28</v>
      </c>
      <c r="J24" s="12">
        <f>INDEX(Tab_Rw[],MATCH(DoP[[#This Row],[Rg]],Tab_Rw[Rg],0),2)</f>
        <v>34</v>
      </c>
      <c r="K24" s="12"/>
      <c r="L24" s="12">
        <f>INDEX(Tab_RwCtr[],MATCH(DoP[[#This Row],[R+Ctr]],Tab_RwCtr[Rg+Ctr],0),2)-DoP[[#This Row],[Rw]]</f>
        <v>-4</v>
      </c>
      <c r="M2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4" s="5" t="b">
        <v>0</v>
      </c>
      <c r="R24" s="5">
        <v>1</v>
      </c>
      <c r="S24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4" s="5">
        <f>IF(DoP[[#This Row],[if_IGU]]=1,psi_swisspacer_ultimate_1k,
IF(DoP[[#This Row],[if_IGU]]=2,psi_swisspacer_ultimate_2k,
0))</f>
        <v>3.2000000000000001E-2</v>
      </c>
      <c r="U24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4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5" spans="2:22" hidden="1" x14ac:dyDescent="0.25">
      <c r="B25" s="1" t="s">
        <v>13</v>
      </c>
      <c r="C25" s="5">
        <v>32</v>
      </c>
      <c r="D25" s="6">
        <v>1.2</v>
      </c>
      <c r="E25" s="20">
        <v>78</v>
      </c>
      <c r="F25" s="20">
        <v>60</v>
      </c>
      <c r="G25" s="7">
        <v>32</v>
      </c>
      <c r="H25" s="7">
        <v>31</v>
      </c>
      <c r="I25" s="7">
        <v>28</v>
      </c>
      <c r="J25" s="12">
        <f>INDEX(Tab_Rw[],MATCH(DoP[[#This Row],[Rg]],Tab_Rw[Rg],0),2)</f>
        <v>34</v>
      </c>
      <c r="K25" s="12">
        <v>-1</v>
      </c>
      <c r="L25" s="12">
        <f>INDEX(Tab_RwCtr[],MATCH(DoP[[#This Row],[R+Ctr]],Tab_RwCtr[Rg+Ctr],0),2)-DoP[[#This Row],[Rw]]</f>
        <v>-4</v>
      </c>
      <c r="M2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5" s="5" t="b">
        <v>0</v>
      </c>
      <c r="R25" s="5">
        <v>1</v>
      </c>
      <c r="S25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5" s="5">
        <f>IF(DoP[[#This Row],[if_IGU]]=1,psi_swisspacer_ultimate_1k,
IF(DoP[[#This Row],[if_IGU]]=2,psi_swisspacer_ultimate_2k,
0))</f>
        <v>3.2000000000000001E-2</v>
      </c>
      <c r="U2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6" spans="2:22" hidden="1" x14ac:dyDescent="0.25">
      <c r="B26" s="1" t="s">
        <v>145</v>
      </c>
      <c r="C26" s="5">
        <v>32</v>
      </c>
      <c r="D26" s="6">
        <v>1.2</v>
      </c>
      <c r="E26" s="20" t="s">
        <v>139</v>
      </c>
      <c r="F26" s="20" t="s">
        <v>141</v>
      </c>
      <c r="G26" s="7">
        <v>32</v>
      </c>
      <c r="H26" s="7">
        <v>31</v>
      </c>
      <c r="I26" s="7">
        <v>28</v>
      </c>
      <c r="J26" s="12">
        <f>INDEX(Tab_Rw[],MATCH(DoP[[#This Row],[Rg]],Tab_Rw[Rg],0),2)</f>
        <v>34</v>
      </c>
      <c r="K26" s="12"/>
      <c r="L26" s="12">
        <f>INDEX(Tab_RwCtr[],MATCH(DoP[[#This Row],[R+Ctr]],Tab_RwCtr[Rg+Ctr],0),2)-DoP[[#This Row],[Rw]]</f>
        <v>-4</v>
      </c>
      <c r="M2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6" s="5" t="b">
        <v>0</v>
      </c>
      <c r="R26" s="5">
        <v>1</v>
      </c>
      <c r="S26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6" s="5">
        <f>IF(DoP[[#This Row],[if_IGU]]=1,psi_swisspacer_ultimate_1k,
IF(DoP[[#This Row],[if_IGU]]=2,psi_swisspacer_ultimate_2k,
0))</f>
        <v>3.2000000000000001E-2</v>
      </c>
      <c r="U2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7" spans="2:22" hidden="1" x14ac:dyDescent="0.25">
      <c r="B27" s="1" t="s">
        <v>40</v>
      </c>
      <c r="C27" s="5">
        <v>32</v>
      </c>
      <c r="D27" s="6">
        <v>1.2</v>
      </c>
      <c r="E27" s="20">
        <v>77</v>
      </c>
      <c r="F27" s="20">
        <v>59</v>
      </c>
      <c r="G27" s="7">
        <v>36</v>
      </c>
      <c r="H27" s="7">
        <v>35</v>
      </c>
      <c r="I27" s="7">
        <v>31</v>
      </c>
      <c r="J27" s="12">
        <f>INDEX(Tab_Rw[],MATCH(DoP[[#This Row],[Rg]],Tab_Rw[Rg],0),2)</f>
        <v>36</v>
      </c>
      <c r="K27" s="12">
        <v>-1</v>
      </c>
      <c r="L27" s="12">
        <f>INDEX(Tab_RwCtr[],MATCH(DoP[[#This Row],[R+Ctr]],Tab_RwCtr[Rg+Ctr],0),2)-DoP[[#This Row],[Rw]]</f>
        <v>-5</v>
      </c>
      <c r="M2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7" s="5" t="b">
        <v>0</v>
      </c>
      <c r="R27" s="5">
        <v>1</v>
      </c>
      <c r="S27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7" s="5">
        <f>IF(DoP[[#This Row],[if_IGU]]=1,psi_swisspacer_ultimate_1k,
IF(DoP[[#This Row],[if_IGU]]=2,psi_swisspacer_ultimate_2k,
0))</f>
        <v>3.2000000000000001E-2</v>
      </c>
      <c r="U2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8" spans="2:22" hidden="1" x14ac:dyDescent="0.25">
      <c r="B28" s="1" t="s">
        <v>44</v>
      </c>
      <c r="C28" s="5">
        <v>32</v>
      </c>
      <c r="D28" s="6">
        <v>1.2</v>
      </c>
      <c r="E28" s="20">
        <v>78</v>
      </c>
      <c r="F28" s="20">
        <v>56</v>
      </c>
      <c r="G28" s="7">
        <v>36</v>
      </c>
      <c r="H28" s="7">
        <v>35</v>
      </c>
      <c r="I28" s="7">
        <v>31</v>
      </c>
      <c r="J28" s="12">
        <f>INDEX(Tab_Rw[],MATCH(DoP[[#This Row],[Rg]],Tab_Rw[Rg],0),2)</f>
        <v>36</v>
      </c>
      <c r="K28" s="12">
        <v>-1</v>
      </c>
      <c r="L28" s="12">
        <f>INDEX(Tab_RwCtr[],MATCH(DoP[[#This Row],[R+Ctr]],Tab_RwCtr[Rg+Ctr],0),2)-DoP[[#This Row],[Rw]]</f>
        <v>-5</v>
      </c>
      <c r="M2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8" s="5" t="b">
        <v>0</v>
      </c>
      <c r="R28" s="5">
        <v>1</v>
      </c>
      <c r="S28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8" s="5">
        <f>IF(DoP[[#This Row],[if_IGU]]=1,psi_swisspacer_ultimate_1k,
IF(DoP[[#This Row],[if_IGU]]=2,psi_swisspacer_ultimate_2k,
0))</f>
        <v>3.2000000000000001E-2</v>
      </c>
      <c r="U2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29" spans="2:22" hidden="1" x14ac:dyDescent="0.25">
      <c r="B29" s="1" t="s">
        <v>45</v>
      </c>
      <c r="C29" s="5">
        <v>32</v>
      </c>
      <c r="D29" s="6">
        <v>1.1000000000000001</v>
      </c>
      <c r="E29" s="20">
        <v>77</v>
      </c>
      <c r="F29" s="20">
        <v>54</v>
      </c>
      <c r="G29" s="7">
        <v>38</v>
      </c>
      <c r="H29" s="7">
        <v>36</v>
      </c>
      <c r="I29" s="7">
        <v>32</v>
      </c>
      <c r="J29" s="12">
        <f>INDEX(Tab_Rw[],MATCH(DoP[[#This Row],[Rg]],Tab_Rw[Rg],0),2)</f>
        <v>37</v>
      </c>
      <c r="K29" s="12">
        <v>-1</v>
      </c>
      <c r="L29" s="12">
        <f>INDEX(Tab_RwCtr[],MATCH(DoP[[#This Row],[R+Ctr]],Tab_RwCtr[Rg+Ctr],0),2)-DoP[[#This Row],[Rw]]</f>
        <v>-5</v>
      </c>
      <c r="M2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2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2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2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29" s="5" t="b">
        <v>0</v>
      </c>
      <c r="R29" s="5">
        <v>1</v>
      </c>
      <c r="S29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29" s="5">
        <f>IF(DoP[[#This Row],[if_IGU]]=1,psi_swisspacer_ultimate_1k,
IF(DoP[[#This Row],[if_IGU]]=2,psi_swisspacer_ultimate_2k,
0))</f>
        <v>3.2000000000000001E-2</v>
      </c>
      <c r="U2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2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0" spans="2:22" hidden="1" x14ac:dyDescent="0.25">
      <c r="B30" s="1" t="s">
        <v>70</v>
      </c>
      <c r="C30" s="5">
        <v>32</v>
      </c>
      <c r="D30" s="6">
        <v>1.1000000000000001</v>
      </c>
      <c r="E30" s="20">
        <v>77</v>
      </c>
      <c r="F30" s="20">
        <v>53</v>
      </c>
      <c r="G30" s="7">
        <v>37</v>
      </c>
      <c r="H30" s="7">
        <v>35</v>
      </c>
      <c r="I30" s="7">
        <v>31</v>
      </c>
      <c r="J30" s="12">
        <f>INDEX(Tab_Rw[],MATCH(DoP[[#This Row],[Rg]],Tab_Rw[Rg],0),2)</f>
        <v>36</v>
      </c>
      <c r="K30" s="12">
        <v>-1</v>
      </c>
      <c r="L30" s="12">
        <f>INDEX(Tab_RwCtr[],MATCH(DoP[[#This Row],[R+Ctr]],Tab_RwCtr[Rg+Ctr],0),2)-DoP[[#This Row],[Rw]]</f>
        <v>-5</v>
      </c>
      <c r="M3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0" s="5" t="b">
        <v>0</v>
      </c>
      <c r="R30" s="5">
        <v>1</v>
      </c>
      <c r="S30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30" s="5">
        <f>IF(DoP[[#This Row],[if_IGU]]=1,psi_swisspacer_ultimate_1k,
IF(DoP[[#This Row],[if_IGU]]=2,psi_swisspacer_ultimate_2k,
0))</f>
        <v>3.2000000000000001E-2</v>
      </c>
      <c r="U3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1" spans="2:22" hidden="1" x14ac:dyDescent="0.25">
      <c r="B31" s="1" t="s">
        <v>41</v>
      </c>
      <c r="C31" s="5">
        <v>32</v>
      </c>
      <c r="D31" s="6">
        <v>1.1000000000000001</v>
      </c>
      <c r="E31" s="20">
        <v>77</v>
      </c>
      <c r="F31" s="20">
        <v>58</v>
      </c>
      <c r="G31" s="7">
        <v>33</v>
      </c>
      <c r="H31" s="7">
        <v>31</v>
      </c>
      <c r="I31" s="7">
        <v>29</v>
      </c>
      <c r="J31" s="12">
        <f>INDEX(Tab_Rw[],MATCH(DoP[[#This Row],[Rg]],Tab_Rw[Rg],0),2)</f>
        <v>34</v>
      </c>
      <c r="K31" s="12">
        <v>-1</v>
      </c>
      <c r="L31" s="12">
        <f>INDEX(Tab_RwCtr[],MATCH(DoP[[#This Row],[R+Ctr]],Tab_RwCtr[Rg+Ctr],0),2)-DoP[[#This Row],[Rw]]</f>
        <v>-4</v>
      </c>
      <c r="M3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1" s="5" t="b">
        <v>0</v>
      </c>
      <c r="R31" s="5">
        <v>1</v>
      </c>
      <c r="S31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31" s="5">
        <f>IF(DoP[[#This Row],[if_IGU]]=1,psi_swisspacer_ultimate_1k,
IF(DoP[[#This Row],[if_IGU]]=2,psi_swisspacer_ultimate_2k,
0))</f>
        <v>3.2000000000000001E-2</v>
      </c>
      <c r="U3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2" spans="2:22" hidden="1" x14ac:dyDescent="0.25">
      <c r="B32" s="1" t="s">
        <v>46</v>
      </c>
      <c r="C32" s="5">
        <v>32</v>
      </c>
      <c r="D32" s="6">
        <v>1.1000000000000001</v>
      </c>
      <c r="E32" s="20">
        <v>77</v>
      </c>
      <c r="F32" s="20">
        <v>55</v>
      </c>
      <c r="G32" s="7">
        <v>35</v>
      </c>
      <c r="H32" s="7">
        <v>33</v>
      </c>
      <c r="I32" s="7">
        <v>29</v>
      </c>
      <c r="J32" s="12">
        <f>INDEX(Tab_Rw[],MATCH(DoP[[#This Row],[Rg]],Tab_Rw[Rg],0),2)</f>
        <v>35</v>
      </c>
      <c r="K32" s="12">
        <v>-1</v>
      </c>
      <c r="L32" s="12">
        <f>INDEX(Tab_RwCtr[],MATCH(DoP[[#This Row],[R+Ctr]],Tab_RwCtr[Rg+Ctr],0),2)-DoP[[#This Row],[Rw]]</f>
        <v>-5</v>
      </c>
      <c r="M3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2" s="5" t="b">
        <v>0</v>
      </c>
      <c r="R32" s="5">
        <v>1</v>
      </c>
      <c r="S32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32" s="5">
        <f>IF(DoP[[#This Row],[if_IGU]]=1,psi_swisspacer_ultimate_1k,
IF(DoP[[#This Row],[if_IGU]]=2,psi_swisspacer_ultimate_2k,
0))</f>
        <v>3.2000000000000001E-2</v>
      </c>
      <c r="U3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3" spans="1:22" hidden="1" x14ac:dyDescent="0.25">
      <c r="B33" s="1" t="s">
        <v>47</v>
      </c>
      <c r="C33" s="5">
        <v>32</v>
      </c>
      <c r="D33" s="6">
        <v>1.1000000000000001</v>
      </c>
      <c r="E33" s="20">
        <v>76</v>
      </c>
      <c r="F33" s="20">
        <v>54</v>
      </c>
      <c r="G33" s="7">
        <v>37</v>
      </c>
      <c r="H33" s="7">
        <v>36</v>
      </c>
      <c r="I33" s="7">
        <v>34</v>
      </c>
      <c r="J33" s="12">
        <f>INDEX(Tab_Rw[],MATCH(DoP[[#This Row],[Rg]],Tab_Rw[Rg],0),2)</f>
        <v>36</v>
      </c>
      <c r="K33" s="12">
        <v>-1</v>
      </c>
      <c r="L33" s="12">
        <f>INDEX(Tab_RwCtr[],MATCH(DoP[[#This Row],[R+Ctr]],Tab_RwCtr[Rg+Ctr],0),2)-DoP[[#This Row],[Rw]]</f>
        <v>-3</v>
      </c>
      <c r="M3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3" s="5" t="b">
        <v>0</v>
      </c>
      <c r="R33" s="5">
        <v>1</v>
      </c>
      <c r="S33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33" s="5">
        <f>IF(DoP[[#This Row],[if_IGU]]=1,psi_swisspacer_ultimate_1k,
IF(DoP[[#This Row],[if_IGU]]=2,psi_swisspacer_ultimate_2k,
0))</f>
        <v>3.2000000000000001E-2</v>
      </c>
      <c r="U3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4" spans="1:22" x14ac:dyDescent="0.25">
      <c r="A34">
        <v>4</v>
      </c>
      <c r="B34" s="1" t="s">
        <v>14</v>
      </c>
      <c r="C34" s="5">
        <v>32</v>
      </c>
      <c r="D34" s="6">
        <v>2</v>
      </c>
      <c r="E34" s="20">
        <v>74</v>
      </c>
      <c r="F34" s="20">
        <v>70</v>
      </c>
      <c r="G34" s="7">
        <v>33</v>
      </c>
      <c r="H34" s="7">
        <v>31</v>
      </c>
      <c r="I34" s="7">
        <v>27</v>
      </c>
      <c r="J34" s="12">
        <f>INDEX(Tab_Rw[],MATCH(DoP[[#This Row],[Rg]],Tab_Rw[Rg],0),2)</f>
        <v>34</v>
      </c>
      <c r="K34" s="12">
        <v>-1</v>
      </c>
      <c r="L34" s="12">
        <f>INDEX(Tab_RwCtr[],MATCH(DoP[[#This Row],[R+Ctr]],Tab_RwCtr[Rg+Ctr],0),2)-DoP[[#This Row],[Rw]]</f>
        <v>-5</v>
      </c>
      <c r="M3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4" s="5" t="b">
        <v>1</v>
      </c>
      <c r="R34" s="5">
        <v>2</v>
      </c>
      <c r="S34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34" s="5">
        <f>IF(DoP[[#This Row],[if_IGU]]=1,psi_swisspacer_ultimate_1k,
IF(DoP[[#This Row],[if_IGU]]=2,psi_swisspacer_ultimate_2k,
0))</f>
        <v>0.03</v>
      </c>
      <c r="U34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4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5" spans="1:22" hidden="1" x14ac:dyDescent="0.25">
      <c r="B35" s="1" t="s">
        <v>146</v>
      </c>
      <c r="C35" s="5">
        <v>32</v>
      </c>
      <c r="D35" s="6">
        <v>2</v>
      </c>
      <c r="E35" s="20" t="s">
        <v>147</v>
      </c>
      <c r="F35" s="20" t="s">
        <v>148</v>
      </c>
      <c r="G35" s="7">
        <v>33</v>
      </c>
      <c r="H35" s="7">
        <v>31</v>
      </c>
      <c r="I35" s="7">
        <v>27</v>
      </c>
      <c r="J35" s="12">
        <f>INDEX(Tab_Rw[],MATCH(DoP[[#This Row],[Rg]],Tab_Rw[Rg],0),2)</f>
        <v>34</v>
      </c>
      <c r="K35" s="12"/>
      <c r="L35" s="12">
        <f>INDEX(Tab_RwCtr[],MATCH(DoP[[#This Row],[R+Ctr]],Tab_RwCtr[Rg+Ctr],0),2)-DoP[[#This Row],[Rw]]</f>
        <v>-5</v>
      </c>
      <c r="M3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5" s="5" t="b">
        <v>1</v>
      </c>
      <c r="R35" s="5">
        <v>2</v>
      </c>
      <c r="S35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35" s="5">
        <f>IF(DoP[[#This Row],[if_IGU]]=1,psi_swisspacer_ultimate_1k,
IF(DoP[[#This Row],[if_IGU]]=2,psi_swisspacer_ultimate_2k,
0))</f>
        <v>0.03</v>
      </c>
      <c r="U3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6" spans="1:22" hidden="1" x14ac:dyDescent="0.25">
      <c r="B36" s="1" t="s">
        <v>15</v>
      </c>
      <c r="C36" s="5">
        <v>32</v>
      </c>
      <c r="D36" s="6">
        <v>1.8</v>
      </c>
      <c r="E36" s="20">
        <v>74</v>
      </c>
      <c r="F36" s="20">
        <v>70</v>
      </c>
      <c r="G36" s="7">
        <v>33</v>
      </c>
      <c r="H36" s="7">
        <v>31</v>
      </c>
      <c r="I36" s="7">
        <v>27</v>
      </c>
      <c r="J36" s="12">
        <f>INDEX(Tab_Rw[],MATCH(DoP[[#This Row],[Rg]],Tab_Rw[Rg],0),2)</f>
        <v>34</v>
      </c>
      <c r="K36" s="12">
        <v>-1</v>
      </c>
      <c r="L36" s="12">
        <f>INDEX(Tab_RwCtr[],MATCH(DoP[[#This Row],[R+Ctr]],Tab_RwCtr[Rg+Ctr],0),2)-DoP[[#This Row],[Rw]]</f>
        <v>-5</v>
      </c>
      <c r="M3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6" s="5" t="b">
        <v>1</v>
      </c>
      <c r="R36" s="5">
        <v>2</v>
      </c>
      <c r="S36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36" s="5">
        <f>IF(DoP[[#This Row],[if_IGU]]=1,psi_swisspacer_ultimate_1k,
IF(DoP[[#This Row],[if_IGU]]=2,psi_swisspacer_ultimate_2k,
0))</f>
        <v>0.03</v>
      </c>
      <c r="U3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7" spans="1:22" x14ac:dyDescent="0.25">
      <c r="A37">
        <v>5</v>
      </c>
      <c r="B37" s="1" t="s">
        <v>16</v>
      </c>
      <c r="C37" s="5">
        <v>32</v>
      </c>
      <c r="D37" s="45">
        <v>1.4</v>
      </c>
      <c r="E37" s="20">
        <v>71</v>
      </c>
      <c r="F37" s="20">
        <v>55</v>
      </c>
      <c r="G37" s="7">
        <v>33</v>
      </c>
      <c r="H37" s="7">
        <v>31</v>
      </c>
      <c r="I37" s="7">
        <v>27</v>
      </c>
      <c r="J37" s="12">
        <f>INDEX(Tab_Rw[],MATCH(DoP[[#This Row],[Rg]],Tab_Rw[Rg],0),2)</f>
        <v>34</v>
      </c>
      <c r="K37" s="12">
        <v>-1</v>
      </c>
      <c r="L37" s="12">
        <f>INDEX(Tab_RwCtr[],MATCH(DoP[[#This Row],[R+Ctr]],Tab_RwCtr[Rg+Ctr],0),2)-DoP[[#This Row],[Rw]]</f>
        <v>-5</v>
      </c>
      <c r="M3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7" s="5" t="b">
        <v>0</v>
      </c>
      <c r="R37" s="5">
        <v>2</v>
      </c>
      <c r="S37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37" s="5">
        <f>IF(DoP[[#This Row],[if_IGU]]=1,psi_swisspacer_ultimate_1k,
IF(DoP[[#This Row],[if_IGU]]=2,psi_swisspacer_ultimate_2k,
0))</f>
        <v>0.03</v>
      </c>
      <c r="U3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8" spans="1:22" x14ac:dyDescent="0.25">
      <c r="A38">
        <v>6</v>
      </c>
      <c r="B38" s="1" t="s">
        <v>17</v>
      </c>
      <c r="C38" s="5">
        <v>32</v>
      </c>
      <c r="D38" s="6">
        <v>1.2</v>
      </c>
      <c r="E38" s="20">
        <v>71</v>
      </c>
      <c r="F38" s="20">
        <v>55</v>
      </c>
      <c r="G38" s="7">
        <v>33</v>
      </c>
      <c r="H38" s="7">
        <v>31</v>
      </c>
      <c r="I38" s="7">
        <v>27</v>
      </c>
      <c r="J38" s="12">
        <f>INDEX(Tab_Rw[],MATCH(DoP[[#This Row],[Rg]],Tab_Rw[Rg],0),2)</f>
        <v>34</v>
      </c>
      <c r="K38" s="12">
        <v>-1</v>
      </c>
      <c r="L38" s="12">
        <f>INDEX(Tab_RwCtr[],MATCH(DoP[[#This Row],[R+Ctr]],Tab_RwCtr[Rg+Ctr],0),2)-DoP[[#This Row],[Rw]]</f>
        <v>-5</v>
      </c>
      <c r="M3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8" s="5" t="b">
        <v>0</v>
      </c>
      <c r="R38" s="5">
        <v>2</v>
      </c>
      <c r="S38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38" s="5">
        <f>IF(DoP[[#This Row],[if_IGU]]=1,psi_swisspacer_ultimate_1k,
IF(DoP[[#This Row],[if_IGU]]=2,psi_swisspacer_ultimate_2k,
0))</f>
        <v>0.03</v>
      </c>
      <c r="U3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39" spans="1:22" x14ac:dyDescent="0.25">
      <c r="A39">
        <v>7</v>
      </c>
      <c r="B39" s="1" t="s">
        <v>18</v>
      </c>
      <c r="C39" s="5">
        <v>32</v>
      </c>
      <c r="D39" s="44">
        <v>1.1000000000000001</v>
      </c>
      <c r="E39" s="20">
        <v>69</v>
      </c>
      <c r="F39" s="20">
        <v>47</v>
      </c>
      <c r="G39" s="7">
        <v>33</v>
      </c>
      <c r="H39" s="7">
        <v>31</v>
      </c>
      <c r="I39" s="7">
        <v>27</v>
      </c>
      <c r="J39" s="12">
        <f>INDEX(Tab_Rw[],MATCH(DoP[[#This Row],[Rg]],Tab_Rw[Rg],0),2)</f>
        <v>34</v>
      </c>
      <c r="K39" s="12">
        <v>-1</v>
      </c>
      <c r="L39" s="12">
        <f>INDEX(Tab_RwCtr[],MATCH(DoP[[#This Row],[R+Ctr]],Tab_RwCtr[Rg+Ctr],0),2)-DoP[[#This Row],[Rw]]</f>
        <v>-5</v>
      </c>
      <c r="M3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3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3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3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39" s="5" t="b">
        <v>0</v>
      </c>
      <c r="R39" s="5">
        <v>2</v>
      </c>
      <c r="S39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39" s="5">
        <f>IF(DoP[[#This Row],[if_IGU]]=1,psi_swisspacer_ultimate_1k,
IF(DoP[[#This Row],[if_IGU]]=2,psi_swisspacer_ultimate_2k,
0))</f>
        <v>0.03</v>
      </c>
      <c r="U3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3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40" spans="1:22" x14ac:dyDescent="0.25">
      <c r="A40" s="21">
        <v>8</v>
      </c>
      <c r="B40" s="38" t="s">
        <v>19</v>
      </c>
      <c r="C40" s="22">
        <v>32</v>
      </c>
      <c r="D40" s="23">
        <v>0.8</v>
      </c>
      <c r="E40" s="24">
        <v>69</v>
      </c>
      <c r="F40" s="24">
        <v>47</v>
      </c>
      <c r="G40" s="25">
        <v>33</v>
      </c>
      <c r="H40" s="25">
        <v>31</v>
      </c>
      <c r="I40" s="25">
        <v>27</v>
      </c>
      <c r="J40" s="26">
        <f>INDEX(Tab_Rw[],MATCH(DoP[[#This Row],[Rg]],Tab_Rw[Rg],0),2)</f>
        <v>34</v>
      </c>
      <c r="K40" s="26">
        <v>-1</v>
      </c>
      <c r="L40" s="26">
        <f>INDEX(Tab_RwCtr[],MATCH(DoP[[#This Row],[R+Ctr]],Tab_RwCtr[Rg+Ctr],0),2)-DoP[[#This Row],[Rw]]</f>
        <v>-5</v>
      </c>
      <c r="M4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4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4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4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40" s="22" t="b">
        <v>0</v>
      </c>
      <c r="R40" s="22">
        <v>2</v>
      </c>
      <c r="S40" s="22">
        <f>IF(DoP[[#This Row],[if_IGU]]=1,
IF(DoP[[#This Row],[uncoated]]=TRUE,psi_Al_uncoated_1k,psi_Al_coated_1k),
IF(DoP[[#This Row],[if_IGU]]=2,
IF(DoP[[#This Row],[uncoated]]=TRUE,psi_Al_uncoated_2k,psi_Al_coated_2k),
0))</f>
        <v>0.08</v>
      </c>
      <c r="T40" s="22">
        <f>IF(DoP[[#This Row],[if_IGU]]=1,psi_swisspacer_ultimate_1k,
IF(DoP[[#This Row],[if_IGU]]=2,psi_swisspacer_ultimate_2k,
0))</f>
        <v>0.03</v>
      </c>
      <c r="U4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4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41" spans="1:22" hidden="1" x14ac:dyDescent="0.25">
      <c r="B41" s="1" t="s">
        <v>149</v>
      </c>
      <c r="C41" s="5">
        <v>32</v>
      </c>
      <c r="D41" s="6">
        <v>1.2</v>
      </c>
      <c r="E41" s="20" t="s">
        <v>148</v>
      </c>
      <c r="F41" s="20" t="s">
        <v>150</v>
      </c>
      <c r="G41" s="7">
        <v>33</v>
      </c>
      <c r="H41" s="7">
        <v>31</v>
      </c>
      <c r="I41" s="7">
        <v>27</v>
      </c>
      <c r="J41" s="12">
        <f>INDEX(Tab_Rw[],MATCH(DoP[[#This Row],[Rg]],Tab_Rw[Rg],0),2)</f>
        <v>34</v>
      </c>
      <c r="K41" s="12"/>
      <c r="L41" s="12">
        <f>INDEX(Tab_RwCtr[],MATCH(DoP[[#This Row],[R+Ctr]],Tab_RwCtr[Rg+Ctr],0),2)-DoP[[#This Row],[Rw]]</f>
        <v>-5</v>
      </c>
      <c r="M4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4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4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4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41" s="5" t="b">
        <v>0</v>
      </c>
      <c r="R41" s="5">
        <v>2</v>
      </c>
      <c r="S41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41" s="5">
        <f>IF(DoP[[#This Row],[if_IGU]]=1,psi_swisspacer_ultimate_1k,
IF(DoP[[#This Row],[if_IGU]]=2,psi_swisspacer_ultimate_2k,
0))</f>
        <v>0.03</v>
      </c>
      <c r="U4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4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42" spans="1:22" x14ac:dyDescent="0.25">
      <c r="A42">
        <v>9</v>
      </c>
      <c r="B42" s="1" t="s">
        <v>20</v>
      </c>
      <c r="C42" s="5">
        <v>40</v>
      </c>
      <c r="D42" s="6">
        <v>1.8</v>
      </c>
      <c r="E42" s="20">
        <v>74</v>
      </c>
      <c r="F42" s="20">
        <v>70</v>
      </c>
      <c r="G42" s="7">
        <v>33</v>
      </c>
      <c r="H42" s="7">
        <v>31</v>
      </c>
      <c r="I42" s="7">
        <v>27</v>
      </c>
      <c r="J42" s="12">
        <f>INDEX(Tab_Rw[],MATCH(DoP[[#This Row],[Rg]],Tab_Rw[Rg],0),2)</f>
        <v>34</v>
      </c>
      <c r="K42" s="12">
        <v>-1</v>
      </c>
      <c r="L42" s="12">
        <f>INDEX(Tab_RwCtr[],MATCH(DoP[[#This Row],[R+Ctr]],Tab_RwCtr[Rg+Ctr],0),2)-DoP[[#This Row],[Rw]]</f>
        <v>-5</v>
      </c>
      <c r="M42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1.7690837178642058</v>
      </c>
      <c r="N42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1.6942649967040213</v>
      </c>
      <c r="O42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0.56526437381227401</v>
      </c>
      <c r="P42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0.5902264415220605</v>
      </c>
      <c r="Q42" s="5" t="b">
        <v>1</v>
      </c>
      <c r="R42" s="5">
        <v>2</v>
      </c>
      <c r="S42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42" s="5">
        <f>IF(DoP[[#This Row],[if_IGU]]=1,psi_swisspacer_ultimate_1k,
IF(DoP[[#This Row],[if_IGU]]=2,psi_swisspacer_ultimate_2k,
0))</f>
        <v>0.03</v>
      </c>
      <c r="U42" s="7" t="b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0</v>
      </c>
      <c r="V42" s="7" t="b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0</v>
      </c>
    </row>
    <row r="43" spans="1:22" hidden="1" x14ac:dyDescent="0.25">
      <c r="B43" s="1" t="s">
        <v>151</v>
      </c>
      <c r="C43" s="5">
        <v>40</v>
      </c>
      <c r="D43" s="6">
        <v>1.8</v>
      </c>
      <c r="E43" s="20" t="s">
        <v>147</v>
      </c>
      <c r="F43" s="20" t="s">
        <v>148</v>
      </c>
      <c r="G43" s="7">
        <v>33</v>
      </c>
      <c r="H43" s="7">
        <v>31</v>
      </c>
      <c r="I43" s="7">
        <v>27</v>
      </c>
      <c r="J43" s="12">
        <f>INDEX(Tab_Rw[],MATCH(DoP[[#This Row],[Rg]],Tab_Rw[Rg],0),2)</f>
        <v>34</v>
      </c>
      <c r="K43" s="12"/>
      <c r="L43" s="12">
        <f>INDEX(Tab_RwCtr[],MATCH(DoP[[#This Row],[R+Ctr]],Tab_RwCtr[Rg+Ctr],0),2)-DoP[[#This Row],[Rw]]</f>
        <v>-5</v>
      </c>
      <c r="M43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1.7690837178642058</v>
      </c>
      <c r="N43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1.6942649967040213</v>
      </c>
      <c r="O43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0.56526437381227401</v>
      </c>
      <c r="P43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0.5902264415220605</v>
      </c>
      <c r="Q43" s="5" t="b">
        <v>1</v>
      </c>
      <c r="R43" s="5">
        <v>2</v>
      </c>
      <c r="S43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43" s="5">
        <f>IF(DoP[[#This Row],[if_IGU]]=1,psi_swisspacer_ultimate_1k,
IF(DoP[[#This Row],[if_IGU]]=2,psi_swisspacer_ultimate_2k,
0))</f>
        <v>0.03</v>
      </c>
      <c r="U43" s="7" t="b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0</v>
      </c>
      <c r="V43" s="7" t="b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0</v>
      </c>
    </row>
    <row r="44" spans="1:22" hidden="1" x14ac:dyDescent="0.25">
      <c r="B44" s="1" t="s">
        <v>21</v>
      </c>
      <c r="C44" s="5">
        <v>40</v>
      </c>
      <c r="D44" s="6">
        <v>1.7</v>
      </c>
      <c r="E44" s="20">
        <v>74</v>
      </c>
      <c r="F44" s="20">
        <v>70</v>
      </c>
      <c r="G44" s="7">
        <v>33</v>
      </c>
      <c r="H44" s="7">
        <v>31</v>
      </c>
      <c r="I44" s="7">
        <v>27</v>
      </c>
      <c r="J44" s="12">
        <f>INDEX(Tab_Rw[],MATCH(DoP[[#This Row],[Rg]],Tab_Rw[Rg],0),2)</f>
        <v>34</v>
      </c>
      <c r="K44" s="12">
        <v>-1</v>
      </c>
      <c r="L44" s="12">
        <f>INDEX(Tab_RwCtr[],MATCH(DoP[[#This Row],[R+Ctr]],Tab_RwCtr[Rg+Ctr],0),2)-DoP[[#This Row],[Rw]]</f>
        <v>-5</v>
      </c>
      <c r="M4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1.6991760052735665</v>
      </c>
      <c r="N4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1.624357284113382</v>
      </c>
      <c r="O4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0.58852055166527639</v>
      </c>
      <c r="P4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0.61562810705517101</v>
      </c>
      <c r="Q44" s="5" t="b">
        <v>1</v>
      </c>
      <c r="R44" s="5">
        <v>2</v>
      </c>
      <c r="S44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44" s="5">
        <f>IF(DoP[[#This Row],[if_IGU]]=1,psi_swisspacer_ultimate_1k,
IF(DoP[[#This Row],[if_IGU]]=2,psi_swisspacer_ultimate_2k,
0))</f>
        <v>0.03</v>
      </c>
      <c r="U44" s="7" t="b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0</v>
      </c>
      <c r="V44" s="7" t="b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0</v>
      </c>
    </row>
    <row r="45" spans="1:22" x14ac:dyDescent="0.25">
      <c r="A45">
        <v>10</v>
      </c>
      <c r="B45" s="1" t="s">
        <v>22</v>
      </c>
      <c r="C45" s="5">
        <v>40</v>
      </c>
      <c r="D45" s="6">
        <v>1.1000000000000001</v>
      </c>
      <c r="E45" s="20">
        <v>71</v>
      </c>
      <c r="F45" s="20">
        <v>55</v>
      </c>
      <c r="G45" s="7">
        <v>33</v>
      </c>
      <c r="H45" s="7">
        <v>31</v>
      </c>
      <c r="I45" s="7">
        <v>27</v>
      </c>
      <c r="J45" s="12">
        <f>INDEX(Tab_Rw[],MATCH(DoP[[#This Row],[Rg]],Tab_Rw[Rg],0),2)</f>
        <v>34</v>
      </c>
      <c r="K45" s="12">
        <v>-1</v>
      </c>
      <c r="L45" s="12">
        <f>INDEX(Tab_RwCtr[],MATCH(DoP[[#This Row],[R+Ctr]],Tab_RwCtr[Rg+Ctr],0),2)-DoP[[#This Row],[Rw]]</f>
        <v>-5</v>
      </c>
      <c r="M4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1.3296088771698529</v>
      </c>
      <c r="N4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1.2049110085695454</v>
      </c>
      <c r="O4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0.75210087505474255</v>
      </c>
      <c r="P4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0.82993681100746763</v>
      </c>
      <c r="Q45" s="5" t="b">
        <v>0</v>
      </c>
      <c r="R45" s="5">
        <v>2</v>
      </c>
      <c r="S45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45" s="5">
        <f>IF(DoP[[#This Row],[if_IGU]]=1,psi_swisspacer_ultimate_1k,
IF(DoP[[#This Row],[if_IGU]]=2,psi_swisspacer_ultimate_2k,
0))</f>
        <v>0.03</v>
      </c>
      <c r="U4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4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w2</v>
      </c>
    </row>
    <row r="46" spans="1:22" x14ac:dyDescent="0.25">
      <c r="A46">
        <v>11</v>
      </c>
      <c r="B46" s="1" t="s">
        <v>23</v>
      </c>
      <c r="C46" s="5">
        <v>40</v>
      </c>
      <c r="D46" s="6">
        <v>0.9</v>
      </c>
      <c r="E46" s="20">
        <v>71</v>
      </c>
      <c r="F46" s="20">
        <v>55</v>
      </c>
      <c r="G46" s="7">
        <v>33</v>
      </c>
      <c r="H46" s="7">
        <v>31</v>
      </c>
      <c r="I46" s="7">
        <v>27</v>
      </c>
      <c r="J46" s="12">
        <f>INDEX(Tab_Rw[],MATCH(DoP[[#This Row],[Rg]],Tab_Rw[Rg],0),2)</f>
        <v>34</v>
      </c>
      <c r="K46" s="12">
        <v>-1</v>
      </c>
      <c r="L46" s="12">
        <f>INDEX(Tab_RwCtr[],MATCH(DoP[[#This Row],[R+Ctr]],Tab_RwCtr[Rg+Ctr],0),2)-DoP[[#This Row],[Rw]]</f>
        <v>-5</v>
      </c>
      <c r="M4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1.1897934519885742</v>
      </c>
      <c r="N4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1.0650955833882663</v>
      </c>
      <c r="O4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0.84048201671360612</v>
      </c>
      <c r="P4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0.93888287173139418</v>
      </c>
      <c r="Q46" s="5" t="b">
        <v>0</v>
      </c>
      <c r="R46" s="5">
        <v>2</v>
      </c>
      <c r="S46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46" s="5">
        <f>IF(DoP[[#This Row],[if_IGU]]=1,psi_swisspacer_ultimate_1k,
IF(DoP[[#This Row],[if_IGU]]=2,psi_swisspacer_ultimate_2k,
0))</f>
        <v>0.03</v>
      </c>
      <c r="U4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4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47" spans="1:22" x14ac:dyDescent="0.25">
      <c r="A47">
        <v>12</v>
      </c>
      <c r="B47" s="1" t="s">
        <v>24</v>
      </c>
      <c r="C47" s="5">
        <v>40</v>
      </c>
      <c r="D47" s="6">
        <v>0.8</v>
      </c>
      <c r="E47" s="20">
        <v>69</v>
      </c>
      <c r="F47" s="20">
        <v>47</v>
      </c>
      <c r="G47" s="7">
        <v>33</v>
      </c>
      <c r="H47" s="7">
        <v>31</v>
      </c>
      <c r="I47" s="7">
        <v>27</v>
      </c>
      <c r="J47" s="12">
        <f>INDEX(Tab_Rw[],MATCH(DoP[[#This Row],[Rg]],Tab_Rw[Rg],0),2)</f>
        <v>34</v>
      </c>
      <c r="K47" s="12">
        <v>-1</v>
      </c>
      <c r="L47" s="12">
        <f>INDEX(Tab_RwCtr[],MATCH(DoP[[#This Row],[R+Ctr]],Tab_RwCtr[Rg+Ctr],0),2)-DoP[[#This Row],[Rw]]</f>
        <v>-5</v>
      </c>
      <c r="M47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1.1198857393979347</v>
      </c>
      <c r="N47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0.99518787079762705</v>
      </c>
      <c r="O47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0.89294824000313922</v>
      </c>
      <c r="P47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1.0048353977611444</v>
      </c>
      <c r="Q47" s="5" t="b">
        <v>0</v>
      </c>
      <c r="R47" s="5">
        <v>2</v>
      </c>
      <c r="S47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47" s="5">
        <f>IF(DoP[[#This Row],[if_IGU]]=1,psi_swisspacer_ultimate_1k,
IF(DoP[[#This Row],[if_IGU]]=2,psi_swisspacer_ultimate_2k,
0))</f>
        <v>0.03</v>
      </c>
      <c r="U4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4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48" spans="1:22" x14ac:dyDescent="0.25">
      <c r="A48" s="21">
        <v>13</v>
      </c>
      <c r="B48" s="38" t="s">
        <v>25</v>
      </c>
      <c r="C48" s="22">
        <v>40</v>
      </c>
      <c r="D48" s="23">
        <v>0.6</v>
      </c>
      <c r="E48" s="24">
        <v>69</v>
      </c>
      <c r="F48" s="24">
        <v>47</v>
      </c>
      <c r="G48" s="25">
        <v>33</v>
      </c>
      <c r="H48" s="25">
        <v>31</v>
      </c>
      <c r="I48" s="25">
        <v>27</v>
      </c>
      <c r="J48" s="26">
        <f>INDEX(Tab_Rw[],MATCH(DoP[[#This Row],[Rg]],Tab_Rw[Rg],0),2)</f>
        <v>34</v>
      </c>
      <c r="K48" s="26">
        <v>-1</v>
      </c>
      <c r="L48" s="26">
        <f>INDEX(Tab_RwCtr[],MATCH(DoP[[#This Row],[R+Ctr]],Tab_RwCtr[Rg+Ctr],0),2)-DoP[[#This Row],[Rw]]</f>
        <v>-5</v>
      </c>
      <c r="M48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0.98007031421665558</v>
      </c>
      <c r="N48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0.85537244561634806</v>
      </c>
      <c r="O48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1.0203349550478669</v>
      </c>
      <c r="P48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1.1690813810110974</v>
      </c>
      <c r="Q48" s="22" t="b">
        <v>0</v>
      </c>
      <c r="R48" s="22">
        <v>2</v>
      </c>
      <c r="S48" s="22">
        <f>IF(DoP[[#This Row],[if_IGU]]=1,
IF(DoP[[#This Row],[uncoated]]=TRUE,psi_Al_uncoated_1k,psi_Al_coated_1k),
IF(DoP[[#This Row],[if_IGU]]=2,
IF(DoP[[#This Row],[uncoated]]=TRUE,psi_Al_uncoated_2k,psi_Al_coated_2k),
0))</f>
        <v>0.08</v>
      </c>
      <c r="T48" s="22">
        <f>IF(DoP[[#This Row],[if_IGU]]=1,psi_swisspacer_ultimate_1k,
IF(DoP[[#This Row],[if_IGU]]=2,psi_swisspacer_ultimate_2k,
0))</f>
        <v>0.03</v>
      </c>
      <c r="U4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4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49" spans="1:22" hidden="1" x14ac:dyDescent="0.25">
      <c r="B49" s="1" t="s">
        <v>152</v>
      </c>
      <c r="C49" s="5">
        <v>40</v>
      </c>
      <c r="D49" s="6">
        <v>0.9</v>
      </c>
      <c r="E49" s="20" t="s">
        <v>148</v>
      </c>
      <c r="F49" s="20" t="s">
        <v>150</v>
      </c>
      <c r="G49" s="7">
        <v>33</v>
      </c>
      <c r="H49" s="7">
        <v>31</v>
      </c>
      <c r="I49" s="7">
        <v>27</v>
      </c>
      <c r="J49" s="12">
        <f>INDEX(Tab_Rw[],MATCH(DoP[[#This Row],[Rg]],Tab_Rw[Rg],0),2)</f>
        <v>34</v>
      </c>
      <c r="K49" s="12"/>
      <c r="L49" s="12">
        <f>INDEX(Tab_RwCtr[],MATCH(DoP[[#This Row],[R+Ctr]],Tab_RwCtr[Rg+Ctr],0),2)-DoP[[#This Row],[Rw]]</f>
        <v>-5</v>
      </c>
      <c r="M49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1.1897934519885742</v>
      </c>
      <c r="N49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1.0650955833882663</v>
      </c>
      <c r="O49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0.84048201671360612</v>
      </c>
      <c r="P49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0.93888287173139418</v>
      </c>
      <c r="Q49" s="5" t="b">
        <v>0</v>
      </c>
      <c r="R49" s="5">
        <v>2</v>
      </c>
      <c r="S49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49" s="5">
        <f>IF(DoP[[#This Row],[if_IGU]]=1,psi_swisspacer_ultimate_1k,
IF(DoP[[#This Row],[if_IGU]]=2,psi_swisspacer_ultimate_2k,
0))</f>
        <v>0.03</v>
      </c>
      <c r="U4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4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0" spans="1:22" hidden="1" x14ac:dyDescent="0.25">
      <c r="B50" s="1" t="s">
        <v>48</v>
      </c>
      <c r="C50" s="5">
        <v>40</v>
      </c>
      <c r="D50" s="6">
        <v>0.7</v>
      </c>
      <c r="E50" s="20">
        <v>68</v>
      </c>
      <c r="F50" s="20">
        <v>46</v>
      </c>
      <c r="G50" s="7">
        <v>36</v>
      </c>
      <c r="H50" s="7">
        <v>34</v>
      </c>
      <c r="I50" s="7">
        <v>30</v>
      </c>
      <c r="J50" s="12">
        <f>INDEX(Tab_Rw[],MATCH(DoP[[#This Row],[Rg]],Tab_Rw[Rg],0),2)</f>
        <v>36</v>
      </c>
      <c r="K50" s="12">
        <v>-1</v>
      </c>
      <c r="L50" s="12">
        <f>INDEX(Tab_RwCtr[],MATCH(DoP[[#This Row],[R+Ctr]],Tab_RwCtr[Rg+Ctr],0),2)-DoP[[#This Row],[Rw]]</f>
        <v>-5</v>
      </c>
      <c r="M5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1.0499780268072951</v>
      </c>
      <c r="N5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0.92528015820698761</v>
      </c>
      <c r="O5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0.95240088313155935</v>
      </c>
      <c r="P5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1.0807537491539911</v>
      </c>
      <c r="Q50" s="5" t="b">
        <v>0</v>
      </c>
      <c r="R50" s="5">
        <v>2</v>
      </c>
      <c r="S50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50" s="5">
        <f>IF(DoP[[#This Row],[if_IGU]]=1,psi_swisspacer_ultimate_1k,
IF(DoP[[#This Row],[if_IGU]]=2,psi_swisspacer_ultimate_2k,
0))</f>
        <v>0.03</v>
      </c>
      <c r="U5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5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1" spans="1:22" hidden="1" x14ac:dyDescent="0.25">
      <c r="B51" s="1" t="s">
        <v>49</v>
      </c>
      <c r="C51" s="5">
        <v>40</v>
      </c>
      <c r="D51" s="6">
        <v>0.7</v>
      </c>
      <c r="E51" s="20">
        <v>68</v>
      </c>
      <c r="F51" s="20">
        <v>44</v>
      </c>
      <c r="G51" s="7">
        <v>36</v>
      </c>
      <c r="H51" s="7">
        <v>34</v>
      </c>
      <c r="I51" s="7">
        <v>28</v>
      </c>
      <c r="J51" s="12">
        <f>INDEX(Tab_Rw[],MATCH(DoP[[#This Row],[Rg]],Tab_Rw[Rg],0),2)</f>
        <v>36</v>
      </c>
      <c r="K51" s="12">
        <v>-1</v>
      </c>
      <c r="L51" s="12">
        <f>INDEX(Tab_RwCtr[],MATCH(DoP[[#This Row],[R+Ctr]],Tab_RwCtr[Rg+Ctr],0),2)-DoP[[#This Row],[Rw]]</f>
        <v>-6</v>
      </c>
      <c r="M51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1.0499780268072951</v>
      </c>
      <c r="N51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0.92528015820698761</v>
      </c>
      <c r="O51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0.95240088313155935</v>
      </c>
      <c r="P51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1.0807537491539911</v>
      </c>
      <c r="Q51" s="5" t="b">
        <v>0</v>
      </c>
      <c r="R51" s="5">
        <v>2</v>
      </c>
      <c r="S51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51" s="5">
        <f>IF(DoP[[#This Row],[if_IGU]]=1,psi_swisspacer_ultimate_1k,
IF(DoP[[#This Row],[if_IGU]]=2,psi_swisspacer_ultimate_2k,
0))</f>
        <v>0.03</v>
      </c>
      <c r="U5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5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2" spans="1:22" hidden="1" x14ac:dyDescent="0.25">
      <c r="B52" s="1" t="s">
        <v>50</v>
      </c>
      <c r="C52" s="5">
        <v>40</v>
      </c>
      <c r="D52" s="6">
        <v>0.7</v>
      </c>
      <c r="E52" s="20">
        <v>67</v>
      </c>
      <c r="F52" s="20">
        <v>43</v>
      </c>
      <c r="G52" s="7">
        <v>37</v>
      </c>
      <c r="H52" s="7">
        <v>35</v>
      </c>
      <c r="I52" s="7">
        <v>31</v>
      </c>
      <c r="J52" s="12">
        <f>INDEX(Tab_Rw[],MATCH(DoP[[#This Row],[Rg]],Tab_Rw[Rg],0),2)</f>
        <v>36</v>
      </c>
      <c r="K52" s="12">
        <v>-1</v>
      </c>
      <c r="L52" s="12">
        <f>INDEX(Tab_RwCtr[],MATCH(DoP[[#This Row],[R+Ctr]],Tab_RwCtr[Rg+Ctr],0),2)-DoP[[#This Row],[Rw]]</f>
        <v>-5</v>
      </c>
      <c r="M52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1.0499780268072951</v>
      </c>
      <c r="N52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0.92528015820698761</v>
      </c>
      <c r="O52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0.95240088313155935</v>
      </c>
      <c r="P52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1.0807537491539911</v>
      </c>
      <c r="Q52" s="5" t="b">
        <v>0</v>
      </c>
      <c r="R52" s="5">
        <v>2</v>
      </c>
      <c r="S52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52" s="5">
        <f>IF(DoP[[#This Row],[if_IGU]]=1,psi_swisspacer_ultimate_1k,
IF(DoP[[#This Row],[if_IGU]]=2,psi_swisspacer_ultimate_2k,
0))</f>
        <v>0.03</v>
      </c>
      <c r="U5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5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3" spans="1:22" hidden="1" x14ac:dyDescent="0.25">
      <c r="B53" s="1" t="s">
        <v>51</v>
      </c>
      <c r="C53" s="5">
        <v>40</v>
      </c>
      <c r="D53" s="6">
        <v>0.7</v>
      </c>
      <c r="E53" s="20">
        <v>67</v>
      </c>
      <c r="F53" s="20">
        <v>46</v>
      </c>
      <c r="G53" s="7">
        <v>36</v>
      </c>
      <c r="H53" s="7">
        <v>34</v>
      </c>
      <c r="I53" s="7">
        <v>30</v>
      </c>
      <c r="J53" s="12">
        <f>INDEX(Tab_Rw[],MATCH(DoP[[#This Row],[Rg]],Tab_Rw[Rg],0),2)</f>
        <v>36</v>
      </c>
      <c r="K53" s="12">
        <v>-1</v>
      </c>
      <c r="L53" s="12">
        <f>INDEX(Tab_RwCtr[],MATCH(DoP[[#This Row],[R+Ctr]],Tab_RwCtr[Rg+Ctr],0),2)-DoP[[#This Row],[Rw]]</f>
        <v>-5</v>
      </c>
      <c r="M53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1.0499780268072951</v>
      </c>
      <c r="N53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0.92528015820698761</v>
      </c>
      <c r="O53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0.95240088313155935</v>
      </c>
      <c r="P53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1.0807537491539911</v>
      </c>
      <c r="Q53" s="5" t="b">
        <v>0</v>
      </c>
      <c r="R53" s="5">
        <v>2</v>
      </c>
      <c r="S53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53" s="5">
        <f>IF(DoP[[#This Row],[if_IGU]]=1,psi_swisspacer_ultimate_1k,
IF(DoP[[#This Row],[if_IGU]]=2,psi_swisspacer_ultimate_2k,
0))</f>
        <v>0.03</v>
      </c>
      <c r="U5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5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4" spans="1:22" hidden="1" x14ac:dyDescent="0.25">
      <c r="B54" s="1" t="s">
        <v>52</v>
      </c>
      <c r="C54" s="5">
        <v>40</v>
      </c>
      <c r="D54" s="6">
        <v>0.8</v>
      </c>
      <c r="E54" s="20">
        <v>66</v>
      </c>
      <c r="F54" s="20">
        <v>46</v>
      </c>
      <c r="G54" s="7">
        <v>35</v>
      </c>
      <c r="H54" s="7">
        <v>33</v>
      </c>
      <c r="I54" s="7">
        <v>29</v>
      </c>
      <c r="J54" s="12">
        <f>INDEX(Tab_Rw[],MATCH(DoP[[#This Row],[Rg]],Tab_Rw[Rg],0),2)</f>
        <v>35</v>
      </c>
      <c r="K54" s="12">
        <v>-1</v>
      </c>
      <c r="L54" s="12">
        <f>INDEX(Tab_RwCtr[],MATCH(DoP[[#This Row],[R+Ctr]],Tab_RwCtr[Rg+Ctr],0),2)-DoP[[#This Row],[Rw]]</f>
        <v>-5</v>
      </c>
      <c r="M5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1.1198857393979347</v>
      </c>
      <c r="N5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0.99518787079762705</v>
      </c>
      <c r="O5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0.89294824000313922</v>
      </c>
      <c r="P5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1.0048353977611444</v>
      </c>
      <c r="Q54" s="5" t="b">
        <v>0</v>
      </c>
      <c r="R54" s="5">
        <v>2</v>
      </c>
      <c r="S54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54" s="5">
        <f>IF(DoP[[#This Row],[if_IGU]]=1,psi_swisspacer_ultimate_1k,
IF(DoP[[#This Row],[if_IGU]]=2,psi_swisspacer_ultimate_2k,
0))</f>
        <v>0.03</v>
      </c>
      <c r="U54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54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5" spans="1:22" hidden="1" x14ac:dyDescent="0.25">
      <c r="B55" s="1" t="s">
        <v>53</v>
      </c>
      <c r="C55" s="5">
        <v>40</v>
      </c>
      <c r="D55" s="6">
        <v>0.8</v>
      </c>
      <c r="E55" s="20">
        <v>66</v>
      </c>
      <c r="F55" s="20">
        <v>44</v>
      </c>
      <c r="G55" s="7">
        <v>37</v>
      </c>
      <c r="H55" s="7">
        <v>35</v>
      </c>
      <c r="I55" s="7">
        <v>30</v>
      </c>
      <c r="J55" s="12">
        <f>INDEX(Tab_Rw[],MATCH(DoP[[#This Row],[Rg]],Tab_Rw[Rg],0),2)</f>
        <v>36</v>
      </c>
      <c r="K55" s="12">
        <v>-1</v>
      </c>
      <c r="L55" s="12">
        <f>INDEX(Tab_RwCtr[],MATCH(DoP[[#This Row],[R+Ctr]],Tab_RwCtr[Rg+Ctr],0),2)-DoP[[#This Row],[Rw]]</f>
        <v>-5</v>
      </c>
      <c r="M5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1.1198857393979347</v>
      </c>
      <c r="N5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0.99518787079762705</v>
      </c>
      <c r="O5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0.89294824000313922</v>
      </c>
      <c r="P5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1.0048353977611444</v>
      </c>
      <c r="Q55" s="5" t="b">
        <v>0</v>
      </c>
      <c r="R55" s="5">
        <v>2</v>
      </c>
      <c r="S55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55" s="5">
        <f>IF(DoP[[#This Row],[if_IGU]]=1,psi_swisspacer_ultimate_1k,
IF(DoP[[#This Row],[if_IGU]]=2,psi_swisspacer_ultimate_2k,
0))</f>
        <v>0.03</v>
      </c>
      <c r="U5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5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6" spans="1:22" hidden="1" x14ac:dyDescent="0.25">
      <c r="B56" s="1" t="s">
        <v>54</v>
      </c>
      <c r="C56" s="5">
        <v>40</v>
      </c>
      <c r="D56" s="6">
        <v>0.8</v>
      </c>
      <c r="E56" s="20">
        <v>66</v>
      </c>
      <c r="F56" s="20">
        <v>43</v>
      </c>
      <c r="G56" s="7">
        <v>39</v>
      </c>
      <c r="H56" s="7">
        <v>38</v>
      </c>
      <c r="I56" s="7">
        <v>33</v>
      </c>
      <c r="J56" s="12">
        <f>INDEX(Tab_Rw[],MATCH(DoP[[#This Row],[Rg]],Tab_Rw[Rg],0),2)</f>
        <v>37</v>
      </c>
      <c r="K56" s="12">
        <v>-1</v>
      </c>
      <c r="L56" s="12">
        <f>INDEX(Tab_RwCtr[],MATCH(DoP[[#This Row],[R+Ctr]],Tab_RwCtr[Rg+Ctr],0),2)-DoP[[#This Row],[Rw]]</f>
        <v>-5</v>
      </c>
      <c r="M5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1.1198857393979347</v>
      </c>
      <c r="N5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0.99518787079762705</v>
      </c>
      <c r="O5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0.89294824000313922</v>
      </c>
      <c r="P5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1.0048353977611444</v>
      </c>
      <c r="Q56" s="5" t="b">
        <v>0</v>
      </c>
      <c r="R56" s="5">
        <v>2</v>
      </c>
      <c r="S56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56" s="5">
        <f>IF(DoP[[#This Row],[if_IGU]]=1,psi_swisspacer_ultimate_1k,
IF(DoP[[#This Row],[if_IGU]]=2,psi_swisspacer_ultimate_2k,
0))</f>
        <v>0.03</v>
      </c>
      <c r="U5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5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57" spans="1:22" x14ac:dyDescent="0.25">
      <c r="A57">
        <v>14</v>
      </c>
      <c r="B57" s="1" t="s">
        <v>26</v>
      </c>
      <c r="C57" s="5">
        <v>44</v>
      </c>
      <c r="D57" s="6">
        <v>1.8</v>
      </c>
      <c r="E57" s="20">
        <v>74</v>
      </c>
      <c r="F57" s="20">
        <v>70</v>
      </c>
      <c r="G57" s="7">
        <v>33</v>
      </c>
      <c r="H57" s="7">
        <v>31</v>
      </c>
      <c r="I57" s="7">
        <v>27</v>
      </c>
      <c r="J57" s="12">
        <f>INDEX(Tab_Rw[],MATCH(DoP[[#This Row],[Rg]],Tab_Rw[Rg],0),2)</f>
        <v>34</v>
      </c>
      <c r="K57" s="12">
        <v>-1</v>
      </c>
      <c r="L57" s="12">
        <f>INDEX(Tab_RwCtr[],MATCH(DoP[[#This Row],[R+Ctr]],Tab_RwCtr[Rg+Ctr],0),2)-DoP[[#This Row],[Rw]]</f>
        <v>-5</v>
      </c>
      <c r="M5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5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5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5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57" s="5" t="b">
        <v>1</v>
      </c>
      <c r="R57" s="5">
        <v>2</v>
      </c>
      <c r="S57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57" s="5">
        <f>IF(DoP[[#This Row],[if_IGU]]=1,psi_swisspacer_ultimate_1k,
IF(DoP[[#This Row],[if_IGU]]=2,psi_swisspacer_ultimate_2k,
0))</f>
        <v>0.03</v>
      </c>
      <c r="U5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5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58" spans="1:22" hidden="1" x14ac:dyDescent="0.25">
      <c r="B58" s="1" t="s">
        <v>153</v>
      </c>
      <c r="C58" s="5">
        <v>44</v>
      </c>
      <c r="D58" s="6">
        <v>1.8</v>
      </c>
      <c r="E58" s="20" t="s">
        <v>147</v>
      </c>
      <c r="F58" s="20" t="s">
        <v>148</v>
      </c>
      <c r="G58" s="7">
        <v>33</v>
      </c>
      <c r="H58" s="7">
        <v>31</v>
      </c>
      <c r="I58" s="7">
        <v>27</v>
      </c>
      <c r="J58" s="12">
        <f>INDEX(Tab_Rw[],MATCH(DoP[[#This Row],[Rg]],Tab_Rw[Rg],0),2)</f>
        <v>34</v>
      </c>
      <c r="K58" s="12"/>
      <c r="L58" s="12">
        <f>INDEX(Tab_RwCtr[],MATCH(DoP[[#This Row],[R+Ctr]],Tab_RwCtr[Rg+Ctr],0),2)-DoP[[#This Row],[Rw]]</f>
        <v>-5</v>
      </c>
      <c r="M5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5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5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5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58" s="5" t="b">
        <v>1</v>
      </c>
      <c r="R58" s="5">
        <v>2</v>
      </c>
      <c r="S58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58" s="5">
        <f>IF(DoP[[#This Row],[if_IGU]]=1,psi_swisspacer_ultimate_1k,
IF(DoP[[#This Row],[if_IGU]]=2,psi_swisspacer_ultimate_2k,
0))</f>
        <v>0.03</v>
      </c>
      <c r="U5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5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59" spans="1:22" hidden="1" x14ac:dyDescent="0.25">
      <c r="B59" s="1" t="s">
        <v>27</v>
      </c>
      <c r="C59" s="5">
        <v>44</v>
      </c>
      <c r="D59" s="6">
        <v>1.7</v>
      </c>
      <c r="E59" s="20">
        <v>74</v>
      </c>
      <c r="F59" s="20">
        <v>70</v>
      </c>
      <c r="G59" s="7">
        <v>33</v>
      </c>
      <c r="H59" s="7">
        <v>31</v>
      </c>
      <c r="I59" s="7">
        <v>27</v>
      </c>
      <c r="J59" s="12">
        <f>INDEX(Tab_Rw[],MATCH(DoP[[#This Row],[Rg]],Tab_Rw[Rg],0),2)</f>
        <v>34</v>
      </c>
      <c r="K59" s="12">
        <v>-1</v>
      </c>
      <c r="L59" s="12">
        <f>INDEX(Tab_RwCtr[],MATCH(DoP[[#This Row],[R+Ctr]],Tab_RwCtr[Rg+Ctr],0),2)-DoP[[#This Row],[Rw]]</f>
        <v>-5</v>
      </c>
      <c r="M5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5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5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5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59" s="5" t="b">
        <v>1</v>
      </c>
      <c r="R59" s="5">
        <v>2</v>
      </c>
      <c r="S59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59" s="5">
        <f>IF(DoP[[#This Row],[if_IGU]]=1,psi_swisspacer_ultimate_1k,
IF(DoP[[#This Row],[if_IGU]]=2,psi_swisspacer_ultimate_2k,
0))</f>
        <v>0.03</v>
      </c>
      <c r="U5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5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0" spans="1:22" x14ac:dyDescent="0.25">
      <c r="A60">
        <v>15</v>
      </c>
      <c r="B60" s="1" t="s">
        <v>28</v>
      </c>
      <c r="C60" s="5">
        <v>44</v>
      </c>
      <c r="D60" s="6">
        <v>1.1000000000000001</v>
      </c>
      <c r="E60" s="20">
        <v>71</v>
      </c>
      <c r="F60" s="20">
        <v>55</v>
      </c>
      <c r="G60" s="7">
        <v>33</v>
      </c>
      <c r="H60" s="7">
        <v>31</v>
      </c>
      <c r="I60" s="7">
        <v>27</v>
      </c>
      <c r="J60" s="12">
        <f>INDEX(Tab_Rw[],MATCH(DoP[[#This Row],[Rg]],Tab_Rw[Rg],0),2)</f>
        <v>34</v>
      </c>
      <c r="K60" s="12">
        <v>-1</v>
      </c>
      <c r="L60" s="12">
        <f>INDEX(Tab_RwCtr[],MATCH(DoP[[#This Row],[R+Ctr]],Tab_RwCtr[Rg+Ctr],0),2)-DoP[[#This Row],[Rw]]</f>
        <v>-5</v>
      </c>
      <c r="M6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0" s="5" t="b">
        <v>0</v>
      </c>
      <c r="R60" s="5">
        <v>2</v>
      </c>
      <c r="S60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0" s="5">
        <f>IF(DoP[[#This Row],[if_IGU]]=1,psi_swisspacer_ultimate_1k,
IF(DoP[[#This Row],[if_IGU]]=2,psi_swisspacer_ultimate_2k,
0))</f>
        <v>0.03</v>
      </c>
      <c r="U6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1" spans="1:22" x14ac:dyDescent="0.25">
      <c r="A61">
        <v>16</v>
      </c>
      <c r="B61" s="1" t="s">
        <v>29</v>
      </c>
      <c r="C61" s="5">
        <v>44</v>
      </c>
      <c r="D61" s="6">
        <v>0.9</v>
      </c>
      <c r="E61" s="20">
        <v>71</v>
      </c>
      <c r="F61" s="20">
        <v>55</v>
      </c>
      <c r="G61" s="7">
        <v>33</v>
      </c>
      <c r="H61" s="7">
        <v>31</v>
      </c>
      <c r="I61" s="7">
        <v>27</v>
      </c>
      <c r="J61" s="12">
        <f>INDEX(Tab_Rw[],MATCH(DoP[[#This Row],[Rg]],Tab_Rw[Rg],0),2)</f>
        <v>34</v>
      </c>
      <c r="K61" s="12">
        <v>-1</v>
      </c>
      <c r="L61" s="12">
        <f>INDEX(Tab_RwCtr[],MATCH(DoP[[#This Row],[R+Ctr]],Tab_RwCtr[Rg+Ctr],0),2)-DoP[[#This Row],[Rw]]</f>
        <v>-5</v>
      </c>
      <c r="M6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1" s="5" t="b">
        <v>0</v>
      </c>
      <c r="R61" s="5">
        <v>2</v>
      </c>
      <c r="S61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1" s="5">
        <f>IF(DoP[[#This Row],[if_IGU]]=1,psi_swisspacer_ultimate_1k,
IF(DoP[[#This Row],[if_IGU]]=2,psi_swisspacer_ultimate_2k,
0))</f>
        <v>0.03</v>
      </c>
      <c r="U6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2" spans="1:22" x14ac:dyDescent="0.25">
      <c r="A62">
        <v>17</v>
      </c>
      <c r="B62" s="1" t="s">
        <v>30</v>
      </c>
      <c r="C62" s="5">
        <v>44</v>
      </c>
      <c r="D62" s="6">
        <v>0.8</v>
      </c>
      <c r="E62" s="20">
        <v>69</v>
      </c>
      <c r="F62" s="20">
        <v>47</v>
      </c>
      <c r="G62" s="7">
        <v>33</v>
      </c>
      <c r="H62" s="7">
        <v>31</v>
      </c>
      <c r="I62" s="7">
        <v>27</v>
      </c>
      <c r="J62" s="12">
        <f>INDEX(Tab_Rw[],MATCH(DoP[[#This Row],[Rg]],Tab_Rw[Rg],0),2)</f>
        <v>34</v>
      </c>
      <c r="K62" s="12">
        <v>-1</v>
      </c>
      <c r="L62" s="12">
        <f>INDEX(Tab_RwCtr[],MATCH(DoP[[#This Row],[R+Ctr]],Tab_RwCtr[Rg+Ctr],0),2)-DoP[[#This Row],[Rw]]</f>
        <v>-5</v>
      </c>
      <c r="M6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2" s="5" t="b">
        <v>0</v>
      </c>
      <c r="R62" s="5">
        <v>2</v>
      </c>
      <c r="S62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2" s="5">
        <f>IF(DoP[[#This Row],[if_IGU]]=1,psi_swisspacer_ultimate_1k,
IF(DoP[[#This Row],[if_IGU]]=2,psi_swisspacer_ultimate_2k,
0))</f>
        <v>0.03</v>
      </c>
      <c r="U6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3" spans="1:22" x14ac:dyDescent="0.25">
      <c r="A63" s="21">
        <v>18</v>
      </c>
      <c r="B63" s="38" t="s">
        <v>31</v>
      </c>
      <c r="C63" s="22">
        <v>44</v>
      </c>
      <c r="D63" s="23">
        <v>0.6</v>
      </c>
      <c r="E63" s="24">
        <v>69</v>
      </c>
      <c r="F63" s="24">
        <v>47</v>
      </c>
      <c r="G63" s="25">
        <v>33</v>
      </c>
      <c r="H63" s="25">
        <v>31</v>
      </c>
      <c r="I63" s="25">
        <v>27</v>
      </c>
      <c r="J63" s="26">
        <f>INDEX(Tab_Rw[],MATCH(DoP[[#This Row],[Rg]],Tab_Rw[Rg],0),2)</f>
        <v>34</v>
      </c>
      <c r="K63" s="26">
        <v>-1</v>
      </c>
      <c r="L63" s="26">
        <f>INDEX(Tab_RwCtr[],MATCH(DoP[[#This Row],[R+Ctr]],Tab_RwCtr[Rg+Ctr],0),2)-DoP[[#This Row],[Rw]]</f>
        <v>-5</v>
      </c>
      <c r="M6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3" s="22" t="b">
        <v>0</v>
      </c>
      <c r="R63" s="22">
        <v>2</v>
      </c>
      <c r="S63" s="22">
        <f>IF(DoP[[#This Row],[if_IGU]]=1,
IF(DoP[[#This Row],[uncoated]]=TRUE,psi_Al_uncoated_1k,psi_Al_coated_1k),
IF(DoP[[#This Row],[if_IGU]]=2,
IF(DoP[[#This Row],[uncoated]]=TRUE,psi_Al_uncoated_2k,psi_Al_coated_2k),
0))</f>
        <v>0.08</v>
      </c>
      <c r="T63" s="22">
        <f>IF(DoP[[#This Row],[if_IGU]]=1,psi_swisspacer_ultimate_1k,
IF(DoP[[#This Row],[if_IGU]]=2,psi_swisspacer_ultimate_2k,
0))</f>
        <v>0.03</v>
      </c>
      <c r="U6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4" spans="1:22" hidden="1" x14ac:dyDescent="0.25">
      <c r="B64" s="1" t="s">
        <v>154</v>
      </c>
      <c r="C64" s="5">
        <v>44</v>
      </c>
      <c r="D64" s="6">
        <v>0.9</v>
      </c>
      <c r="E64" s="20" t="s">
        <v>148</v>
      </c>
      <c r="F64" s="20" t="s">
        <v>150</v>
      </c>
      <c r="G64" s="7">
        <v>33</v>
      </c>
      <c r="H64" s="7">
        <v>31</v>
      </c>
      <c r="I64" s="7">
        <v>27</v>
      </c>
      <c r="J64" s="12">
        <f>INDEX(Tab_Rw[],MATCH(DoP[[#This Row],[Rg]],Tab_Rw[Rg],0),2)</f>
        <v>34</v>
      </c>
      <c r="K64" s="12"/>
      <c r="L64" s="12">
        <f>INDEX(Tab_RwCtr[],MATCH(DoP[[#This Row],[R+Ctr]],Tab_RwCtr[Rg+Ctr],0),2)-DoP[[#This Row],[Rw]]</f>
        <v>-5</v>
      </c>
      <c r="M6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4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4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4" s="5" t="b">
        <v>0</v>
      </c>
      <c r="R64" s="5">
        <v>2</v>
      </c>
      <c r="S64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4" s="5">
        <f>IF(DoP[[#This Row],[if_IGU]]=1,psi_swisspacer_ultimate_1k,
IF(DoP[[#This Row],[if_IGU]]=2,psi_swisspacer_ultimate_2k,
0))</f>
        <v>0.03</v>
      </c>
      <c r="U64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4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5" spans="1:22" hidden="1" x14ac:dyDescent="0.25">
      <c r="B65" s="1" t="s">
        <v>55</v>
      </c>
      <c r="C65" s="5">
        <v>44</v>
      </c>
      <c r="D65" s="6">
        <v>0.6</v>
      </c>
      <c r="E65" s="20">
        <v>68</v>
      </c>
      <c r="F65" s="20">
        <v>46</v>
      </c>
      <c r="G65" s="7">
        <v>36</v>
      </c>
      <c r="H65" s="7">
        <v>34</v>
      </c>
      <c r="I65" s="7">
        <v>30</v>
      </c>
      <c r="J65" s="12">
        <f>INDEX(Tab_Rw[],MATCH(DoP[[#This Row],[Rg]],Tab_Rw[Rg],0),2)</f>
        <v>36</v>
      </c>
      <c r="K65" s="12">
        <v>-1</v>
      </c>
      <c r="L65" s="12">
        <f>INDEX(Tab_RwCtr[],MATCH(DoP[[#This Row],[R+Ctr]],Tab_RwCtr[Rg+Ctr],0),2)-DoP[[#This Row],[Rw]]</f>
        <v>-5</v>
      </c>
      <c r="M6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5" s="5" t="b">
        <v>0</v>
      </c>
      <c r="R65" s="5">
        <v>2</v>
      </c>
      <c r="S65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5" s="5">
        <f>IF(DoP[[#This Row],[if_IGU]]=1,psi_swisspacer_ultimate_1k,
IF(DoP[[#This Row],[if_IGU]]=2,psi_swisspacer_ultimate_2k,
0))</f>
        <v>0.03</v>
      </c>
      <c r="U6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6" spans="1:22" hidden="1" x14ac:dyDescent="0.25">
      <c r="B66" s="1" t="s">
        <v>56</v>
      </c>
      <c r="C66" s="5">
        <v>44</v>
      </c>
      <c r="D66" s="6">
        <v>0.6</v>
      </c>
      <c r="E66" s="20">
        <v>68</v>
      </c>
      <c r="F66" s="20">
        <v>44</v>
      </c>
      <c r="G66" s="7">
        <v>36</v>
      </c>
      <c r="H66" s="7">
        <v>34</v>
      </c>
      <c r="I66" s="7">
        <v>28</v>
      </c>
      <c r="J66" s="12">
        <f>INDEX(Tab_Rw[],MATCH(DoP[[#This Row],[Rg]],Tab_Rw[Rg],0),2)</f>
        <v>36</v>
      </c>
      <c r="K66" s="12">
        <v>-1</v>
      </c>
      <c r="L66" s="12">
        <f>INDEX(Tab_RwCtr[],MATCH(DoP[[#This Row],[R+Ctr]],Tab_RwCtr[Rg+Ctr],0),2)-DoP[[#This Row],[Rw]]</f>
        <v>-6</v>
      </c>
      <c r="M6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6" s="5" t="b">
        <v>0</v>
      </c>
      <c r="R66" s="5">
        <v>2</v>
      </c>
      <c r="S66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6" s="5">
        <f>IF(DoP[[#This Row],[if_IGU]]=1,psi_swisspacer_ultimate_1k,
IF(DoP[[#This Row],[if_IGU]]=2,psi_swisspacer_ultimate_2k,
0))</f>
        <v>0.03</v>
      </c>
      <c r="U6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7" spans="1:22" hidden="1" x14ac:dyDescent="0.25">
      <c r="B67" s="1" t="s">
        <v>57</v>
      </c>
      <c r="C67" s="5">
        <v>44</v>
      </c>
      <c r="D67" s="6">
        <v>0.6</v>
      </c>
      <c r="E67" s="20">
        <v>67</v>
      </c>
      <c r="F67" s="20">
        <v>43</v>
      </c>
      <c r="G67" s="7">
        <v>37</v>
      </c>
      <c r="H67" s="7">
        <v>35</v>
      </c>
      <c r="I67" s="7">
        <v>31</v>
      </c>
      <c r="J67" s="12">
        <f>INDEX(Tab_Rw[],MATCH(DoP[[#This Row],[Rg]],Tab_Rw[Rg],0),2)</f>
        <v>36</v>
      </c>
      <c r="K67" s="12">
        <v>-1</v>
      </c>
      <c r="L67" s="12">
        <f>INDEX(Tab_RwCtr[],MATCH(DoP[[#This Row],[R+Ctr]],Tab_RwCtr[Rg+Ctr],0),2)-DoP[[#This Row],[Rw]]</f>
        <v>-5</v>
      </c>
      <c r="M6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7" s="5" t="b">
        <v>0</v>
      </c>
      <c r="R67" s="5">
        <v>2</v>
      </c>
      <c r="S67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7" s="5">
        <f>IF(DoP[[#This Row],[if_IGU]]=1,psi_swisspacer_ultimate_1k,
IF(DoP[[#This Row],[if_IGU]]=2,psi_swisspacer_ultimate_2k,
0))</f>
        <v>0.03</v>
      </c>
      <c r="U6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8" spans="1:22" hidden="1" x14ac:dyDescent="0.25">
      <c r="B68" s="1" t="s">
        <v>71</v>
      </c>
      <c r="C68" s="5">
        <v>44</v>
      </c>
      <c r="D68" s="6">
        <v>0.7</v>
      </c>
      <c r="E68" s="20">
        <v>67</v>
      </c>
      <c r="F68" s="20">
        <v>43</v>
      </c>
      <c r="G68" s="7">
        <v>37</v>
      </c>
      <c r="H68" s="7">
        <v>35</v>
      </c>
      <c r="I68" s="7">
        <v>31</v>
      </c>
      <c r="J68" s="12">
        <f>INDEX(Tab_Rw[],MATCH(DoP[[#This Row],[Rg]],Tab_Rw[Rg],0),2)</f>
        <v>36</v>
      </c>
      <c r="K68" s="12">
        <v>-1</v>
      </c>
      <c r="L68" s="12">
        <f>INDEX(Tab_RwCtr[],MATCH(DoP[[#This Row],[R+Ctr]],Tab_RwCtr[Rg+Ctr],0),2)-DoP[[#This Row],[Rw]]</f>
        <v>-5</v>
      </c>
      <c r="M6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8" s="5" t="b">
        <v>0</v>
      </c>
      <c r="R68" s="5">
        <v>2</v>
      </c>
      <c r="S68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8" s="5">
        <f>IF(DoP[[#This Row],[if_IGU]]=1,psi_swisspacer_ultimate_1k,
IF(DoP[[#This Row],[if_IGU]]=2,psi_swisspacer_ultimate_2k,
0))</f>
        <v>0.03</v>
      </c>
      <c r="U6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69" spans="1:22" hidden="1" x14ac:dyDescent="0.25">
      <c r="B69" s="1" t="s">
        <v>58</v>
      </c>
      <c r="C69" s="5">
        <v>44</v>
      </c>
      <c r="D69" s="6">
        <v>0.6</v>
      </c>
      <c r="E69" s="20">
        <v>67</v>
      </c>
      <c r="F69" s="20">
        <v>46</v>
      </c>
      <c r="G69" s="7">
        <v>36</v>
      </c>
      <c r="H69" s="7">
        <v>34</v>
      </c>
      <c r="I69" s="7">
        <v>30</v>
      </c>
      <c r="J69" s="12">
        <f>INDEX(Tab_Rw[],MATCH(DoP[[#This Row],[Rg]],Tab_Rw[Rg],0),2)</f>
        <v>36</v>
      </c>
      <c r="K69" s="12">
        <v>-1</v>
      </c>
      <c r="L69" s="12">
        <f>INDEX(Tab_RwCtr[],MATCH(DoP[[#This Row],[R+Ctr]],Tab_RwCtr[Rg+Ctr],0),2)-DoP[[#This Row],[Rw]]</f>
        <v>-5</v>
      </c>
      <c r="M6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6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6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6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69" s="5" t="b">
        <v>0</v>
      </c>
      <c r="R69" s="5">
        <v>2</v>
      </c>
      <c r="S69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69" s="5">
        <f>IF(DoP[[#This Row],[if_IGU]]=1,psi_swisspacer_ultimate_1k,
IF(DoP[[#This Row],[if_IGU]]=2,psi_swisspacer_ultimate_2k,
0))</f>
        <v>0.03</v>
      </c>
      <c r="U6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6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70" spans="1:22" hidden="1" x14ac:dyDescent="0.25">
      <c r="B70" s="1" t="s">
        <v>59</v>
      </c>
      <c r="C70" s="5">
        <v>44</v>
      </c>
      <c r="D70" s="6">
        <v>0.7</v>
      </c>
      <c r="E70" s="20">
        <v>66</v>
      </c>
      <c r="F70" s="20">
        <v>46</v>
      </c>
      <c r="G70" s="7">
        <v>35</v>
      </c>
      <c r="H70" s="7">
        <v>33</v>
      </c>
      <c r="I70" s="7">
        <v>29</v>
      </c>
      <c r="J70" s="12">
        <f>INDEX(Tab_Rw[],MATCH(DoP[[#This Row],[Rg]],Tab_Rw[Rg],0),2)</f>
        <v>35</v>
      </c>
      <c r="K70" s="12">
        <v>-1</v>
      </c>
      <c r="L70" s="12">
        <f>INDEX(Tab_RwCtr[],MATCH(DoP[[#This Row],[R+Ctr]],Tab_RwCtr[Rg+Ctr],0),2)-DoP[[#This Row],[Rw]]</f>
        <v>-5</v>
      </c>
      <c r="M7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70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7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70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70" s="5" t="b">
        <v>0</v>
      </c>
      <c r="R70" s="5">
        <v>2</v>
      </c>
      <c r="S70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70" s="5">
        <f>IF(DoP[[#This Row],[if_IGU]]=1,psi_swisspacer_ultimate_1k,
IF(DoP[[#This Row],[if_IGU]]=2,psi_swisspacer_ultimate_2k,
0))</f>
        <v>0.03</v>
      </c>
      <c r="U7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7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71" spans="1:22" hidden="1" x14ac:dyDescent="0.25">
      <c r="B71" s="1" t="s">
        <v>60</v>
      </c>
      <c r="C71" s="5">
        <v>44</v>
      </c>
      <c r="D71" s="6">
        <v>0.7</v>
      </c>
      <c r="E71" s="20">
        <v>66</v>
      </c>
      <c r="F71" s="20">
        <v>44</v>
      </c>
      <c r="G71" s="7">
        <v>37</v>
      </c>
      <c r="H71" s="7">
        <v>35</v>
      </c>
      <c r="I71" s="7">
        <v>30</v>
      </c>
      <c r="J71" s="12">
        <f>INDEX(Tab_Rw[],MATCH(DoP[[#This Row],[Rg]],Tab_Rw[Rg],0),2)</f>
        <v>36</v>
      </c>
      <c r="K71" s="12">
        <v>-1</v>
      </c>
      <c r="L71" s="12">
        <f>INDEX(Tab_RwCtr[],MATCH(DoP[[#This Row],[R+Ctr]],Tab_RwCtr[Rg+Ctr],0),2)-DoP[[#This Row],[Rw]]</f>
        <v>-5</v>
      </c>
      <c r="M7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7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7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7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71" s="5" t="b">
        <v>0</v>
      </c>
      <c r="R71" s="5">
        <v>2</v>
      </c>
      <c r="S71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71" s="5">
        <f>IF(DoP[[#This Row],[if_IGU]]=1,psi_swisspacer_ultimate_1k,
IF(DoP[[#This Row],[if_IGU]]=2,psi_swisspacer_ultimate_2k,
0))</f>
        <v>0.03</v>
      </c>
      <c r="U7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7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72" spans="1:22" hidden="1" x14ac:dyDescent="0.25">
      <c r="B72" s="1" t="s">
        <v>61</v>
      </c>
      <c r="C72" s="5">
        <v>44</v>
      </c>
      <c r="D72" s="6">
        <v>0.7</v>
      </c>
      <c r="E72" s="20">
        <v>66</v>
      </c>
      <c r="F72" s="20">
        <v>43</v>
      </c>
      <c r="G72" s="7">
        <v>39</v>
      </c>
      <c r="H72" s="7">
        <v>38</v>
      </c>
      <c r="I72" s="7">
        <v>33</v>
      </c>
      <c r="J72" s="12"/>
      <c r="K72" s="12"/>
      <c r="L72" s="12"/>
      <c r="M7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7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7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7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72" s="5" t="b">
        <v>0</v>
      </c>
      <c r="R72" s="5">
        <v>2</v>
      </c>
      <c r="S72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72" s="5">
        <f>IF(DoP[[#This Row],[if_IGU]]=1,psi_swisspacer_ultimate_1k,
IF(DoP[[#This Row],[if_IGU]]=2,psi_swisspacer_ultimate_2k,
0))</f>
        <v>0.03</v>
      </c>
      <c r="U7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7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73" spans="1:22" hidden="1" x14ac:dyDescent="0.25">
      <c r="B73" s="1" t="s">
        <v>72</v>
      </c>
      <c r="C73" s="5">
        <v>44</v>
      </c>
      <c r="D73" s="6">
        <v>0.8</v>
      </c>
      <c r="E73" s="20">
        <v>66</v>
      </c>
      <c r="F73" s="20">
        <v>42</v>
      </c>
      <c r="G73" s="7">
        <v>39</v>
      </c>
      <c r="H73" s="7">
        <v>38</v>
      </c>
      <c r="I73" s="7">
        <v>33</v>
      </c>
      <c r="J73" s="12">
        <f>INDEX(Tab_Rw[],MATCH(DoP[[#This Row],[Rg]],Tab_Rw[Rg],0),2)</f>
        <v>37</v>
      </c>
      <c r="K73" s="12">
        <v>-1</v>
      </c>
      <c r="L73" s="12">
        <f>INDEX(Tab_RwCtr[],MATCH(DoP[[#This Row],[R+Ctr]],Tab_RwCtr[Rg+Ctr],0),2)-DoP[[#This Row],[Rw]]</f>
        <v>-5</v>
      </c>
      <c r="M7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7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7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7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73" s="5" t="b">
        <v>0</v>
      </c>
      <c r="R73" s="5">
        <v>2</v>
      </c>
      <c r="S73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73" s="5">
        <f>IF(DoP[[#This Row],[if_IGU]]=1,psi_swisspacer_ultimate_1k,
IF(DoP[[#This Row],[if_IGU]]=2,psi_swisspacer_ultimate_2k,
0))</f>
        <v>0.03</v>
      </c>
      <c r="U7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7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74" spans="1:22" x14ac:dyDescent="0.25">
      <c r="A74">
        <v>19</v>
      </c>
      <c r="B74" s="1" t="s">
        <v>32</v>
      </c>
      <c r="C74" s="5">
        <v>48</v>
      </c>
      <c r="D74" s="6">
        <v>1.7</v>
      </c>
      <c r="E74" s="20">
        <v>74</v>
      </c>
      <c r="F74" s="20">
        <v>70</v>
      </c>
      <c r="G74" s="7">
        <v>33</v>
      </c>
      <c r="H74" s="7">
        <v>31</v>
      </c>
      <c r="I74" s="7">
        <v>27</v>
      </c>
      <c r="J74" s="12">
        <f>INDEX(Tab_Rw[],MATCH(DoP[[#This Row],[Rg]],Tab_Rw[Rg],0),2)</f>
        <v>34</v>
      </c>
      <c r="K74" s="12">
        <v>-1</v>
      </c>
      <c r="L74" s="12">
        <f>INDEX(Tab_RwCtr[],MATCH(DoP[[#This Row],[R+Ctr]],Tab_RwCtr[Rg+Ctr],0),2)-DoP[[#This Row],[Rw]]</f>
        <v>-5</v>
      </c>
      <c r="M7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1.6991760052735665</v>
      </c>
      <c r="N7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1.624357284113382</v>
      </c>
      <c r="O7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0.58852055166527639</v>
      </c>
      <c r="P7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0.61562810705517101</v>
      </c>
      <c r="Q74" s="5" t="b">
        <v>1</v>
      </c>
      <c r="R74" s="5">
        <v>2</v>
      </c>
      <c r="S74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74" s="5">
        <f>IF(DoP[[#This Row],[if_IGU]]=1,psi_swisspacer_ultimate_1k,
IF(DoP[[#This Row],[if_IGU]]=2,psi_swisspacer_ultimate_2k,
0))</f>
        <v>0.03</v>
      </c>
      <c r="U74" s="7" t="b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0</v>
      </c>
      <c r="V74" s="7" t="b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0</v>
      </c>
    </row>
    <row r="75" spans="1:22" hidden="1" x14ac:dyDescent="0.25">
      <c r="B75" s="1" t="s">
        <v>155</v>
      </c>
      <c r="C75" s="5">
        <v>48</v>
      </c>
      <c r="D75" s="6">
        <v>1.7</v>
      </c>
      <c r="E75" s="20" t="s">
        <v>147</v>
      </c>
      <c r="F75" s="20" t="s">
        <v>148</v>
      </c>
      <c r="G75" s="7">
        <v>33</v>
      </c>
      <c r="H75" s="7">
        <v>31</v>
      </c>
      <c r="I75" s="7">
        <v>27</v>
      </c>
      <c r="J75" s="12">
        <f>INDEX(Tab_Rw[],MATCH(DoP[[#This Row],[Rg]],Tab_Rw[Rg],0),2)</f>
        <v>34</v>
      </c>
      <c r="K75" s="12"/>
      <c r="L75" s="12">
        <f>INDEX(Tab_RwCtr[],MATCH(DoP[[#This Row],[R+Ctr]],Tab_RwCtr[Rg+Ctr],0),2)-DoP[[#This Row],[Rw]]</f>
        <v>-5</v>
      </c>
      <c r="M7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1.6991760052735665</v>
      </c>
      <c r="N7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1.624357284113382</v>
      </c>
      <c r="O7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0.58852055166527639</v>
      </c>
      <c r="P7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0.61562810705517101</v>
      </c>
      <c r="Q75" s="5" t="b">
        <v>1</v>
      </c>
      <c r="R75" s="5">
        <v>2</v>
      </c>
      <c r="S75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75" s="5">
        <f>IF(DoP[[#This Row],[if_IGU]]=1,psi_swisspacer_ultimate_1k,
IF(DoP[[#This Row],[if_IGU]]=2,psi_swisspacer_ultimate_2k,
0))</f>
        <v>0.03</v>
      </c>
      <c r="U75" s="7" t="b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0</v>
      </c>
      <c r="V75" s="7" t="b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0</v>
      </c>
    </row>
    <row r="76" spans="1:22" hidden="1" x14ac:dyDescent="0.25">
      <c r="B76" s="1" t="s">
        <v>33</v>
      </c>
      <c r="C76" s="5">
        <v>48</v>
      </c>
      <c r="D76" s="6">
        <v>1.6</v>
      </c>
      <c r="E76" s="20">
        <v>74</v>
      </c>
      <c r="F76" s="20">
        <v>70</v>
      </c>
      <c r="G76" s="7">
        <v>33</v>
      </c>
      <c r="H76" s="7">
        <v>31</v>
      </c>
      <c r="I76" s="7">
        <v>27</v>
      </c>
      <c r="J76" s="12">
        <f>INDEX(Tab_Rw[],MATCH(DoP[[#This Row],[Rg]],Tab_Rw[Rg],0),2)</f>
        <v>34</v>
      </c>
      <c r="K76" s="12">
        <v>-1</v>
      </c>
      <c r="L76" s="12">
        <f>INDEX(Tab_RwCtr[],MATCH(DoP[[#This Row],[R+Ctr]],Tab_RwCtr[Rg+Ctr],0),2)-DoP[[#This Row],[Rw]]</f>
        <v>-5</v>
      </c>
      <c r="M7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1.6292682926829274</v>
      </c>
      <c r="N7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1.5544495715227427</v>
      </c>
      <c r="O7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0.61377245508982015</v>
      </c>
      <c r="P7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0.64331453288664586</v>
      </c>
      <c r="Q76" s="5" t="b">
        <v>1</v>
      </c>
      <c r="R76" s="5">
        <v>2</v>
      </c>
      <c r="S76" s="5">
        <f>IF(DoP[[#This Row],[if_IGU]]=1,
IF(DoP[[#This Row],[uncoated]]=TRUE,psi_Al_uncoated_1k,psi_Al_coated_1k),
IF(DoP[[#This Row],[if_IGU]]=2,
IF(DoP[[#This Row],[uncoated]]=TRUE,psi_Al_uncoated_2k,psi_Al_coated_2k),
0))</f>
        <v>0.06</v>
      </c>
      <c r="T76" s="5">
        <f>IF(DoP[[#This Row],[if_IGU]]=1,psi_swisspacer_ultimate_1k,
IF(DoP[[#This Row],[if_IGU]]=2,psi_swisspacer_ultimate_2k,
0))</f>
        <v>0.03</v>
      </c>
      <c r="U76" s="7" t="b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0</v>
      </c>
      <c r="V76" s="7" t="b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0</v>
      </c>
    </row>
    <row r="77" spans="1:22" x14ac:dyDescent="0.25">
      <c r="A77">
        <v>20</v>
      </c>
      <c r="B77" s="1" t="s">
        <v>34</v>
      </c>
      <c r="C77" s="5">
        <v>48</v>
      </c>
      <c r="D77" s="6">
        <v>1</v>
      </c>
      <c r="E77" s="20">
        <v>71</v>
      </c>
      <c r="F77" s="20">
        <v>55</v>
      </c>
      <c r="G77" s="7">
        <v>33</v>
      </c>
      <c r="H77" s="7">
        <v>31</v>
      </c>
      <c r="I77" s="7">
        <v>27</v>
      </c>
      <c r="J77" s="12">
        <f>INDEX(Tab_Rw[],MATCH(DoP[[#This Row],[Rg]],Tab_Rw[Rg],0),2)</f>
        <v>34</v>
      </c>
      <c r="K77" s="12">
        <v>-1</v>
      </c>
      <c r="L77" s="12">
        <f>INDEX(Tab_RwCtr[],MATCH(DoP[[#This Row],[R+Ctr]],Tab_RwCtr[Rg+Ctr],0),2)-DoP[[#This Row],[Rw]]</f>
        <v>-5</v>
      </c>
      <c r="M77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1.2597011645792133</v>
      </c>
      <c r="N77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1.1350032959789058</v>
      </c>
      <c r="O77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0.79383906923197689</v>
      </c>
      <c r="P77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0.88105471018701353</v>
      </c>
      <c r="Q77" s="5" t="b">
        <v>0</v>
      </c>
      <c r="R77" s="5">
        <v>2</v>
      </c>
      <c r="S77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77" s="5">
        <f>IF(DoP[[#This Row],[if_IGU]]=1,psi_swisspacer_ultimate_1k,
IF(DoP[[#This Row],[if_IGU]]=2,psi_swisspacer_ultimate_2k,
0))</f>
        <v>0.03</v>
      </c>
      <c r="U7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7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w2</v>
      </c>
    </row>
    <row r="78" spans="1:22" x14ac:dyDescent="0.25">
      <c r="A78">
        <v>21</v>
      </c>
      <c r="B78" s="1" t="s">
        <v>35</v>
      </c>
      <c r="C78" s="5">
        <v>48</v>
      </c>
      <c r="D78" s="6">
        <v>0.9</v>
      </c>
      <c r="E78" s="20">
        <v>71</v>
      </c>
      <c r="F78" s="20">
        <v>55</v>
      </c>
      <c r="G78" s="7">
        <v>33</v>
      </c>
      <c r="H78" s="7">
        <v>31</v>
      </c>
      <c r="I78" s="7">
        <v>27</v>
      </c>
      <c r="J78" s="12">
        <f>INDEX(Tab_Rw[],MATCH(DoP[[#This Row],[Rg]],Tab_Rw[Rg],0),2)</f>
        <v>34</v>
      </c>
      <c r="K78" s="12">
        <v>-1</v>
      </c>
      <c r="L78" s="12">
        <f>INDEX(Tab_RwCtr[],MATCH(DoP[[#This Row],[R+Ctr]],Tab_RwCtr[Rg+Ctr],0),2)-DoP[[#This Row],[Rw]]</f>
        <v>-5</v>
      </c>
      <c r="M78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1.1897934519885742</v>
      </c>
      <c r="N78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1.0650955833882663</v>
      </c>
      <c r="O78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0.84048201671360612</v>
      </c>
      <c r="P78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0.93888287173139418</v>
      </c>
      <c r="Q78" s="5" t="b">
        <v>0</v>
      </c>
      <c r="R78" s="5">
        <v>2</v>
      </c>
      <c r="S78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78" s="5">
        <f>IF(DoP[[#This Row],[if_IGU]]=1,psi_swisspacer_ultimate_1k,
IF(DoP[[#This Row],[if_IGU]]=2,psi_swisspacer_ultimate_2k,
0))</f>
        <v>0.03</v>
      </c>
      <c r="U7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7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79" spans="1:22" x14ac:dyDescent="0.25">
      <c r="A79">
        <v>22</v>
      </c>
      <c r="B79" s="1" t="s">
        <v>36</v>
      </c>
      <c r="C79" s="5">
        <v>48</v>
      </c>
      <c r="D79" s="6">
        <v>0.7</v>
      </c>
      <c r="E79" s="20">
        <v>69</v>
      </c>
      <c r="F79" s="20">
        <v>47</v>
      </c>
      <c r="G79" s="7">
        <v>33</v>
      </c>
      <c r="H79" s="7">
        <v>31</v>
      </c>
      <c r="I79" s="7">
        <v>27</v>
      </c>
      <c r="J79" s="12">
        <f>INDEX(Tab_Rw[],MATCH(DoP[[#This Row],[Rg]],Tab_Rw[Rg],0),2)</f>
        <v>34</v>
      </c>
      <c r="K79" s="12">
        <v>-1</v>
      </c>
      <c r="L79" s="12">
        <f>INDEX(Tab_RwCtr[],MATCH(DoP[[#This Row],[R+Ctr]],Tab_RwCtr[Rg+Ctr],0),2)-DoP[[#This Row],[Rw]]</f>
        <v>-5</v>
      </c>
      <c r="M79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1.0499780268072951</v>
      </c>
      <c r="N79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0.92528015820698761</v>
      </c>
      <c r="O79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0.95240088313155935</v>
      </c>
      <c r="P79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1.0807537491539911</v>
      </c>
      <c r="Q79" s="5" t="b">
        <v>0</v>
      </c>
      <c r="R79" s="5">
        <v>2</v>
      </c>
      <c r="S79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79" s="5">
        <f>IF(DoP[[#This Row],[if_IGU]]=1,psi_swisspacer_ultimate_1k,
IF(DoP[[#This Row],[if_IGU]]=2,psi_swisspacer_ultimate_2k,
0))</f>
        <v>0.03</v>
      </c>
      <c r="U7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7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0" spans="1:22" x14ac:dyDescent="0.25">
      <c r="A80" s="21">
        <v>23</v>
      </c>
      <c r="B80" s="38" t="s">
        <v>37</v>
      </c>
      <c r="C80" s="22">
        <v>48</v>
      </c>
      <c r="D80" s="23">
        <v>0.5</v>
      </c>
      <c r="E80" s="24">
        <v>69</v>
      </c>
      <c r="F80" s="24">
        <v>47</v>
      </c>
      <c r="G80" s="25">
        <v>33</v>
      </c>
      <c r="H80" s="25">
        <v>31</v>
      </c>
      <c r="I80" s="25">
        <v>27</v>
      </c>
      <c r="J80" s="26">
        <f>INDEX(Tab_Rw[],MATCH(DoP[[#This Row],[Rg]],Tab_Rw[Rg],0),2)</f>
        <v>34</v>
      </c>
      <c r="K80" s="26">
        <v>-1</v>
      </c>
      <c r="L80" s="26">
        <f>INDEX(Tab_RwCtr[],MATCH(DoP[[#This Row],[R+Ctr]],Tab_RwCtr[Rg+Ctr],0),2)-DoP[[#This Row],[Rw]]</f>
        <v>-5</v>
      </c>
      <c r="M8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0.91016260162601637</v>
      </c>
      <c r="N8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0.78546473302570885</v>
      </c>
      <c r="O8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1.0987047789191602</v>
      </c>
      <c r="P8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1.2731316352649906</v>
      </c>
      <c r="Q80" s="22" t="b">
        <v>0</v>
      </c>
      <c r="R80" s="22">
        <v>2</v>
      </c>
      <c r="S80" s="22">
        <f>IF(DoP[[#This Row],[if_IGU]]=1,
IF(DoP[[#This Row],[uncoated]]=TRUE,psi_Al_uncoated_1k,psi_Al_coated_1k),
IF(DoP[[#This Row],[if_IGU]]=2,
IF(DoP[[#This Row],[uncoated]]=TRUE,psi_Al_uncoated_2k,psi_Al_coated_2k),
0))</f>
        <v>0.08</v>
      </c>
      <c r="T80" s="22">
        <f>IF(DoP[[#This Row],[if_IGU]]=1,psi_swisspacer_ultimate_1k,
IF(DoP[[#This Row],[if_IGU]]=2,psi_swisspacer_ultimate_2k,
0))</f>
        <v>0.03</v>
      </c>
      <c r="U8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1" spans="2:22" hidden="1" x14ac:dyDescent="0.25">
      <c r="B81" s="1" t="s">
        <v>156</v>
      </c>
      <c r="C81" s="5">
        <v>48</v>
      </c>
      <c r="D81" s="6">
        <v>0.9</v>
      </c>
      <c r="E81" s="20" t="s">
        <v>148</v>
      </c>
      <c r="F81" s="20" t="s">
        <v>150</v>
      </c>
      <c r="G81" s="7">
        <v>33</v>
      </c>
      <c r="H81" s="7">
        <v>31</v>
      </c>
      <c r="I81" s="7">
        <v>27</v>
      </c>
      <c r="J81" s="12">
        <f>INDEX(Tab_Rw[],MATCH(DoP[[#This Row],[Rg]],Tab_Rw[Rg],0),2)</f>
        <v>34</v>
      </c>
      <c r="K81" s="12"/>
      <c r="L81" s="12">
        <f>INDEX(Tab_RwCtr[],MATCH(DoP[[#This Row],[R+Ctr]],Tab_RwCtr[Rg+Ctr],0),2)-DoP[[#This Row],[Rw]]</f>
        <v>-5</v>
      </c>
      <c r="M81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1.1897934519885742</v>
      </c>
      <c r="N81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1.0650955833882663</v>
      </c>
      <c r="O81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0.84048201671360612</v>
      </c>
      <c r="P81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0.93888287173139418</v>
      </c>
      <c r="Q81" s="5" t="b">
        <v>0</v>
      </c>
      <c r="R81" s="5">
        <v>2</v>
      </c>
      <c r="S81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1" s="5">
        <f>IF(DoP[[#This Row],[if_IGU]]=1,psi_swisspacer_ultimate_1k,
IF(DoP[[#This Row],[if_IGU]]=2,psi_swisspacer_ultimate_2k,
0))</f>
        <v>0.03</v>
      </c>
      <c r="U8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w2</v>
      </c>
      <c r="V8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2" spans="2:22" hidden="1" x14ac:dyDescent="0.25">
      <c r="B82" s="1" t="s">
        <v>62</v>
      </c>
      <c r="C82" s="5">
        <v>48</v>
      </c>
      <c r="D82" s="6">
        <v>0.5</v>
      </c>
      <c r="E82" s="20">
        <v>68</v>
      </c>
      <c r="F82" s="20">
        <v>46</v>
      </c>
      <c r="G82" s="7">
        <v>36</v>
      </c>
      <c r="H82" s="7">
        <v>34</v>
      </c>
      <c r="I82" s="7">
        <v>30</v>
      </c>
      <c r="J82" s="12">
        <f>INDEX(Tab_Rw[],MATCH(DoP[[#This Row],[Rg]],Tab_Rw[Rg],0),2)</f>
        <v>36</v>
      </c>
      <c r="K82" s="12">
        <v>-1</v>
      </c>
      <c r="L82" s="12">
        <f>INDEX(Tab_RwCtr[],MATCH(DoP[[#This Row],[R+Ctr]],Tab_RwCtr[Rg+Ctr],0),2)-DoP[[#This Row],[Rw]]</f>
        <v>-5</v>
      </c>
      <c r="M82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0.91016260162601637</v>
      </c>
      <c r="N82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0.78546473302570885</v>
      </c>
      <c r="O82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1.0987047789191602</v>
      </c>
      <c r="P82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1.2731316352649906</v>
      </c>
      <c r="Q82" s="5" t="b">
        <v>0</v>
      </c>
      <c r="R82" s="5">
        <v>2</v>
      </c>
      <c r="S82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2" s="5">
        <f>IF(DoP[[#This Row],[if_IGU]]=1,psi_swisspacer_ultimate_1k,
IF(DoP[[#This Row],[if_IGU]]=2,psi_swisspacer_ultimate_2k,
0))</f>
        <v>0.03</v>
      </c>
      <c r="U8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3" spans="2:22" hidden="1" x14ac:dyDescent="0.25">
      <c r="B83" s="1" t="s">
        <v>63</v>
      </c>
      <c r="C83" s="5">
        <v>48</v>
      </c>
      <c r="D83" s="6">
        <v>0.5</v>
      </c>
      <c r="E83" s="20">
        <v>68</v>
      </c>
      <c r="F83" s="20">
        <v>44</v>
      </c>
      <c r="G83" s="7">
        <v>36</v>
      </c>
      <c r="H83" s="7">
        <v>34</v>
      </c>
      <c r="I83" s="7">
        <v>28</v>
      </c>
      <c r="J83" s="12">
        <f>INDEX(Tab_Rw[],MATCH(DoP[[#This Row],[Rg]],Tab_Rw[Rg],0),2)</f>
        <v>36</v>
      </c>
      <c r="K83" s="12">
        <v>-1</v>
      </c>
      <c r="L83" s="12">
        <f>INDEX(Tab_RwCtr[],MATCH(DoP[[#This Row],[R+Ctr]],Tab_RwCtr[Rg+Ctr],0),2)-DoP[[#This Row],[Rw]]</f>
        <v>-6</v>
      </c>
      <c r="M83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0.91016260162601637</v>
      </c>
      <c r="N83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0.78546473302570885</v>
      </c>
      <c r="O83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1.0987047789191602</v>
      </c>
      <c r="P83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1.2731316352649906</v>
      </c>
      <c r="Q83" s="5" t="b">
        <v>0</v>
      </c>
      <c r="R83" s="5">
        <v>2</v>
      </c>
      <c r="S83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3" s="5">
        <f>IF(DoP[[#This Row],[if_IGU]]=1,psi_swisspacer_ultimate_1k,
IF(DoP[[#This Row],[if_IGU]]=2,psi_swisspacer_ultimate_2k,
0))</f>
        <v>0.03</v>
      </c>
      <c r="U8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4" spans="2:22" hidden="1" x14ac:dyDescent="0.25">
      <c r="B84" s="1" t="s">
        <v>64</v>
      </c>
      <c r="C84" s="5">
        <v>48</v>
      </c>
      <c r="D84" s="6">
        <v>0.6</v>
      </c>
      <c r="E84" s="20">
        <v>67</v>
      </c>
      <c r="F84" s="20">
        <v>43</v>
      </c>
      <c r="G84" s="7">
        <v>37</v>
      </c>
      <c r="H84" s="7">
        <v>35</v>
      </c>
      <c r="I84" s="7">
        <v>31</v>
      </c>
      <c r="J84" s="12">
        <f>INDEX(Tab_Rw[],MATCH(DoP[[#This Row],[Rg]],Tab_Rw[Rg],0),2)</f>
        <v>36</v>
      </c>
      <c r="K84" s="12">
        <v>-1</v>
      </c>
      <c r="L84" s="12">
        <f>INDEX(Tab_RwCtr[],MATCH(DoP[[#This Row],[R+Ctr]],Tab_RwCtr[Rg+Ctr],0),2)-DoP[[#This Row],[Rw]]</f>
        <v>-5</v>
      </c>
      <c r="M8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0.98007031421665558</v>
      </c>
      <c r="N8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0.85537244561634806</v>
      </c>
      <c r="O8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1.0203349550478669</v>
      </c>
      <c r="P8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1.1690813810110974</v>
      </c>
      <c r="Q84" s="5" t="b">
        <v>0</v>
      </c>
      <c r="R84" s="5">
        <v>2</v>
      </c>
      <c r="S84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4" s="5">
        <f>IF(DoP[[#This Row],[if_IGU]]=1,psi_swisspacer_ultimate_1k,
IF(DoP[[#This Row],[if_IGU]]=2,psi_swisspacer_ultimate_2k,
0))</f>
        <v>0.03</v>
      </c>
      <c r="U84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4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5" spans="2:22" hidden="1" x14ac:dyDescent="0.25">
      <c r="B85" s="1" t="s">
        <v>73</v>
      </c>
      <c r="C85" s="5">
        <v>48</v>
      </c>
      <c r="D85" s="6">
        <v>0.6</v>
      </c>
      <c r="E85" s="20">
        <v>67</v>
      </c>
      <c r="F85" s="20">
        <v>43</v>
      </c>
      <c r="G85" s="7">
        <v>37</v>
      </c>
      <c r="H85" s="7">
        <v>35</v>
      </c>
      <c r="I85" s="7">
        <v>31</v>
      </c>
      <c r="J85" s="12"/>
      <c r="K85" s="12"/>
      <c r="L85" s="12"/>
      <c r="M8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0.98007031421665558</v>
      </c>
      <c r="N85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0.85537244561634806</v>
      </c>
      <c r="O8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1.0203349550478669</v>
      </c>
      <c r="P85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1.1690813810110974</v>
      </c>
      <c r="Q85" s="5" t="b">
        <v>0</v>
      </c>
      <c r="R85" s="5">
        <v>2</v>
      </c>
      <c r="S85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5" s="5">
        <f>IF(DoP[[#This Row],[if_IGU]]=1,psi_swisspacer_ultimate_1k,
IF(DoP[[#This Row],[if_IGU]]=2,psi_swisspacer_ultimate_2k,
0))</f>
        <v>0.03</v>
      </c>
      <c r="U8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6" spans="2:22" hidden="1" x14ac:dyDescent="0.25">
      <c r="B86" s="1" t="s">
        <v>65</v>
      </c>
      <c r="C86" s="5">
        <v>48</v>
      </c>
      <c r="D86" s="6">
        <v>0.6</v>
      </c>
      <c r="E86" s="20">
        <v>67</v>
      </c>
      <c r="F86" s="20">
        <v>46</v>
      </c>
      <c r="G86" s="7">
        <v>36</v>
      </c>
      <c r="H86" s="7">
        <v>34</v>
      </c>
      <c r="I86" s="7">
        <v>30</v>
      </c>
      <c r="J86" s="12">
        <f>INDEX(Tab_Rw[],MATCH(DoP[[#This Row],[Rg]],Tab_Rw[Rg],0),2)</f>
        <v>36</v>
      </c>
      <c r="K86" s="12">
        <v>-1</v>
      </c>
      <c r="L86" s="12">
        <f>INDEX(Tab_RwCtr[],MATCH(DoP[[#This Row],[R+Ctr]],Tab_RwCtr[Rg+Ctr],0),2)-DoP[[#This Row],[Rw]]</f>
        <v>-5</v>
      </c>
      <c r="M8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0.98007031421665558</v>
      </c>
      <c r="N86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0.85537244561634806</v>
      </c>
      <c r="O8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1.0203349550478669</v>
      </c>
      <c r="P86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1.1690813810110974</v>
      </c>
      <c r="Q86" s="5" t="b">
        <v>0</v>
      </c>
      <c r="R86" s="5">
        <v>2</v>
      </c>
      <c r="S86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6" s="5">
        <f>IF(DoP[[#This Row],[if_IGU]]=1,psi_swisspacer_ultimate_1k,
IF(DoP[[#This Row],[if_IGU]]=2,psi_swisspacer_ultimate_2k,
0))</f>
        <v>0.03</v>
      </c>
      <c r="U8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7" spans="2:22" hidden="1" x14ac:dyDescent="0.25">
      <c r="B87" s="1" t="s">
        <v>66</v>
      </c>
      <c r="C87" s="5">
        <v>48</v>
      </c>
      <c r="D87" s="6">
        <v>0.6</v>
      </c>
      <c r="E87" s="20">
        <v>66</v>
      </c>
      <c r="F87" s="20">
        <v>46</v>
      </c>
      <c r="G87" s="7">
        <v>35</v>
      </c>
      <c r="H87" s="7">
        <v>33</v>
      </c>
      <c r="I87" s="7">
        <v>29</v>
      </c>
      <c r="J87" s="12">
        <f>INDEX(Tab_Rw[],MATCH(DoP[[#This Row],[Rg]],Tab_Rw[Rg],0),2)</f>
        <v>35</v>
      </c>
      <c r="K87" s="12">
        <v>-1</v>
      </c>
      <c r="L87" s="12">
        <f>INDEX(Tab_RwCtr[],MATCH(DoP[[#This Row],[R+Ctr]],Tab_RwCtr[Rg+Ctr],0),2)-DoP[[#This Row],[Rw]]</f>
        <v>-5</v>
      </c>
      <c r="M87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0.98007031421665558</v>
      </c>
      <c r="N87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0.85537244561634806</v>
      </c>
      <c r="O87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1.0203349550478669</v>
      </c>
      <c r="P87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1.1690813810110974</v>
      </c>
      <c r="Q87" s="5" t="b">
        <v>0</v>
      </c>
      <c r="R87" s="5">
        <v>2</v>
      </c>
      <c r="S87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7" s="5">
        <f>IF(DoP[[#This Row],[if_IGU]]=1,psi_swisspacer_ultimate_1k,
IF(DoP[[#This Row],[if_IGU]]=2,psi_swisspacer_ultimate_2k,
0))</f>
        <v>0.03</v>
      </c>
      <c r="U8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8" spans="2:22" hidden="1" x14ac:dyDescent="0.25">
      <c r="B88" s="1" t="s">
        <v>67</v>
      </c>
      <c r="C88" s="5">
        <v>48</v>
      </c>
      <c r="D88" s="6">
        <v>0.6</v>
      </c>
      <c r="E88" s="20">
        <v>66</v>
      </c>
      <c r="F88" s="20">
        <v>44</v>
      </c>
      <c r="G88" s="7">
        <v>37</v>
      </c>
      <c r="H88" s="7">
        <v>35</v>
      </c>
      <c r="I88" s="7">
        <v>30</v>
      </c>
      <c r="J88" s="12"/>
      <c r="K88" s="12"/>
      <c r="L88" s="12"/>
      <c r="M88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0.98007031421665558</v>
      </c>
      <c r="N88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0.85537244561634806</v>
      </c>
      <c r="O88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1.0203349550478669</v>
      </c>
      <c r="P88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1.1690813810110974</v>
      </c>
      <c r="Q88" s="5" t="b">
        <v>0</v>
      </c>
      <c r="R88" s="5">
        <v>2</v>
      </c>
      <c r="S88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8" s="5">
        <f>IF(DoP[[#This Row],[if_IGU]]=1,psi_swisspacer_ultimate_1k,
IF(DoP[[#This Row],[if_IGU]]=2,psi_swisspacer_ultimate_2k,
0))</f>
        <v>0.03</v>
      </c>
      <c r="U8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89" spans="2:22" hidden="1" x14ac:dyDescent="0.25">
      <c r="B89" s="1" t="s">
        <v>68</v>
      </c>
      <c r="C89" s="5">
        <v>48</v>
      </c>
      <c r="D89" s="6">
        <v>0.6</v>
      </c>
      <c r="E89" s="20">
        <v>66</v>
      </c>
      <c r="F89" s="20">
        <v>43</v>
      </c>
      <c r="G89" s="7">
        <v>39</v>
      </c>
      <c r="H89" s="7">
        <v>38</v>
      </c>
      <c r="I89" s="7">
        <v>33</v>
      </c>
      <c r="J89" s="12"/>
      <c r="K89" s="12"/>
      <c r="L89" s="12"/>
      <c r="M89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0.98007031421665558</v>
      </c>
      <c r="N89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0.85537244561634806</v>
      </c>
      <c r="O89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1.0203349550478669</v>
      </c>
      <c r="P89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1.1690813810110974</v>
      </c>
      <c r="Q89" s="5" t="b">
        <v>0</v>
      </c>
      <c r="R89" s="5">
        <v>2</v>
      </c>
      <c r="S89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89" s="5">
        <f>IF(DoP[[#This Row],[if_IGU]]=1,psi_swisspacer_ultimate_1k,
IF(DoP[[#This Row],[if_IGU]]=2,psi_swisspacer_ultimate_2k,
0))</f>
        <v>0.03</v>
      </c>
      <c r="U8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8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90" spans="2:22" hidden="1" x14ac:dyDescent="0.25">
      <c r="B90" s="1" t="s">
        <v>74</v>
      </c>
      <c r="C90" s="5">
        <v>48</v>
      </c>
      <c r="D90" s="6">
        <v>0.7</v>
      </c>
      <c r="E90" s="20">
        <v>66</v>
      </c>
      <c r="F90" s="20">
        <v>42</v>
      </c>
      <c r="G90" s="7">
        <v>39</v>
      </c>
      <c r="H90" s="7">
        <v>38</v>
      </c>
      <c r="I90" s="7">
        <v>33</v>
      </c>
      <c r="J90" s="12"/>
      <c r="K90" s="12"/>
      <c r="L90" s="12"/>
      <c r="M9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1.0499780268072951</v>
      </c>
      <c r="N9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0.92528015820698761</v>
      </c>
      <c r="O9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0.95240088313155935</v>
      </c>
      <c r="P9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1.0807537491539911</v>
      </c>
      <c r="Q90" s="5" t="b">
        <v>0</v>
      </c>
      <c r="R90" s="5">
        <v>2</v>
      </c>
      <c r="S90" s="5">
        <f>IF(DoP[[#This Row],[if_IGU]]=1,
IF(DoP[[#This Row],[uncoated]]=TRUE,psi_Al_uncoated_1k,psi_Al_coated_1k),
IF(DoP[[#This Row],[if_IGU]]=2,
IF(DoP[[#This Row],[uncoated]]=TRUE,psi_Al_uncoated_2k,psi_Al_coated_2k),
0))</f>
        <v>0.08</v>
      </c>
      <c r="T90" s="5">
        <f>IF(DoP[[#This Row],[if_IGU]]=1,psi_swisspacer_ultimate_1k,
IF(DoP[[#This Row],[if_IGU]]=2,psi_swisspacer_ultimate_2k,
0))</f>
        <v>0.03</v>
      </c>
      <c r="U9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9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91" spans="2:22" hidden="1" x14ac:dyDescent="0.25">
      <c r="B91" s="1" t="s">
        <v>75</v>
      </c>
      <c r="C91" s="5">
        <v>24</v>
      </c>
      <c r="D91" s="6">
        <v>1.214</v>
      </c>
      <c r="E91" s="20"/>
      <c r="F91" s="20"/>
      <c r="G91" s="7">
        <v>27</v>
      </c>
      <c r="H91" s="7"/>
      <c r="I91" s="7"/>
      <c r="J91" s="12">
        <f>INDEX(Tab_Rw[],MATCH(DoP[[#This Row],[Rg]],Tab_Rw[Rg],0),2)</f>
        <v>30</v>
      </c>
      <c r="K91" s="12"/>
      <c r="L91" s="12"/>
      <c r="M9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1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1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1" s="5">
        <v>0</v>
      </c>
      <c r="R91" s="5">
        <v>0</v>
      </c>
      <c r="S91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1" s="5">
        <f>IF(DoP[[#This Row],[if_IGU]]=1,psi_swisspacer_ultimate_1k,
IF(DoP[[#This Row],[if_IGU]]=2,psi_swisspacer_ultimate_2k,
0))</f>
        <v>0</v>
      </c>
      <c r="U91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1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2" spans="2:22" hidden="1" x14ac:dyDescent="0.25">
      <c r="B92" s="1" t="s">
        <v>76</v>
      </c>
      <c r="C92" s="5">
        <v>33</v>
      </c>
      <c r="D92" s="6">
        <v>0.91200000000000003</v>
      </c>
      <c r="E92" s="20"/>
      <c r="F92" s="20"/>
      <c r="G92" s="7">
        <v>27</v>
      </c>
      <c r="H92" s="7"/>
      <c r="I92" s="7"/>
      <c r="J92" s="12">
        <f>INDEX(Tab_Rw[],MATCH(DoP[[#This Row],[Rg]],Tab_Rw[Rg],0),2)</f>
        <v>30</v>
      </c>
      <c r="K92" s="12"/>
      <c r="L92" s="12"/>
      <c r="M9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2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2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2" s="5">
        <v>0</v>
      </c>
      <c r="R92" s="5">
        <v>0</v>
      </c>
      <c r="S92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2" s="5">
        <f>IF(DoP[[#This Row],[if_IGU]]=1,psi_swisspacer_ultimate_1k,
IF(DoP[[#This Row],[if_IGU]]=2,psi_swisspacer_ultimate_2k,
0))</f>
        <v>0</v>
      </c>
      <c r="U92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2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3" spans="2:22" hidden="1" x14ac:dyDescent="0.25">
      <c r="B93" s="1" t="s">
        <v>77</v>
      </c>
      <c r="C93" s="5">
        <v>44</v>
      </c>
      <c r="D93" s="6">
        <v>0.68799999999999994</v>
      </c>
      <c r="E93" s="20"/>
      <c r="F93" s="20"/>
      <c r="G93" s="7"/>
      <c r="H93" s="7"/>
      <c r="I93" s="7"/>
      <c r="J93" s="12"/>
      <c r="K93" s="12"/>
      <c r="L93" s="12"/>
      <c r="M9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3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3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3" s="5">
        <v>0</v>
      </c>
      <c r="R93" s="5">
        <v>0</v>
      </c>
      <c r="S93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3" s="5">
        <f>IF(DoP[[#This Row],[if_IGU]]=1,psi_swisspacer_ultimate_1k,
IF(DoP[[#This Row],[if_IGU]]=2,psi_swisspacer_ultimate_2k,
0))</f>
        <v>0</v>
      </c>
      <c r="U93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3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4" spans="2:22" hidden="1" x14ac:dyDescent="0.25">
      <c r="B94" s="1" t="s">
        <v>78</v>
      </c>
      <c r="C94" s="5">
        <v>49</v>
      </c>
      <c r="D94" s="6">
        <v>0.64200000000000002</v>
      </c>
      <c r="E94" s="20"/>
      <c r="F94" s="20"/>
      <c r="G94" s="7">
        <v>30</v>
      </c>
      <c r="H94" s="7"/>
      <c r="I94" s="7"/>
      <c r="J94" s="12">
        <f>INDEX(Tab_Rw[],MATCH(DoP[[#This Row],[Rg]],Tab_Rw[Rg],0),2)</f>
        <v>33</v>
      </c>
      <c r="K94" s="12"/>
      <c r="L94" s="12"/>
      <c r="M9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0.80991496374423211</v>
      </c>
      <c r="N94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0.80991496374423211</v>
      </c>
      <c r="O9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1.2346975235239586</v>
      </c>
      <c r="P94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1.2346975235239586</v>
      </c>
      <c r="Q94" s="5">
        <v>0</v>
      </c>
      <c r="R94" s="5">
        <v>0</v>
      </c>
      <c r="S94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4" s="5">
        <f>IF(DoP[[#This Row],[if_IGU]]=1,psi_swisspacer_ultimate_1k,
IF(DoP[[#This Row],[if_IGU]]=2,psi_swisspacer_ultimate_2k,
0))</f>
        <v>0</v>
      </c>
      <c r="U94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94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  <row r="95" spans="2:22" hidden="1" x14ac:dyDescent="0.25">
      <c r="B95" s="39" t="s">
        <v>79</v>
      </c>
      <c r="C95" s="5">
        <v>24</v>
      </c>
      <c r="D95" s="6">
        <v>1.0049999999999999</v>
      </c>
      <c r="E95" s="20"/>
      <c r="F95" s="20"/>
      <c r="G95" s="7">
        <v>27</v>
      </c>
      <c r="H95" s="7"/>
      <c r="I95" s="7"/>
      <c r="J95" s="12">
        <f>INDEX(Tab_Rw[],MATCH(DoP[[#This Row],[Rg]],Tab_Rw[Rg],0),2)</f>
        <v>30</v>
      </c>
      <c r="K95" s="12"/>
      <c r="L95" s="12"/>
      <c r="M9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5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5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5" s="5">
        <v>0</v>
      </c>
      <c r="R95" s="5">
        <v>0</v>
      </c>
      <c r="S95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5" s="5">
        <f>IF(DoP[[#This Row],[if_IGU]]=1,psi_swisspacer_ultimate_1k,
IF(DoP[[#This Row],[if_IGU]]=2,psi_swisspacer_ultimate_2k,
0))</f>
        <v>0</v>
      </c>
      <c r="U95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5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6" spans="2:22" hidden="1" x14ac:dyDescent="0.25">
      <c r="B96" s="39" t="s">
        <v>80</v>
      </c>
      <c r="C96" s="5">
        <v>33</v>
      </c>
      <c r="D96" s="6">
        <v>0.745</v>
      </c>
      <c r="E96" s="20"/>
      <c r="F96" s="20"/>
      <c r="G96" s="7">
        <v>27</v>
      </c>
      <c r="H96" s="7"/>
      <c r="I96" s="7"/>
      <c r="J96" s="12">
        <f>INDEX(Tab_Rw[],MATCH(DoP[[#This Row],[Rg]],Tab_Rw[Rg],0),2)</f>
        <v>30</v>
      </c>
      <c r="K96" s="12"/>
      <c r="L96" s="12"/>
      <c r="M9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6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6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6" s="5">
        <v>0</v>
      </c>
      <c r="R96" s="5">
        <v>0</v>
      </c>
      <c r="S96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6" s="5">
        <f>IF(DoP[[#This Row],[if_IGU]]=1,psi_swisspacer_ultimate_1k,
IF(DoP[[#This Row],[if_IGU]]=2,psi_swisspacer_ultimate_2k,
0))</f>
        <v>0</v>
      </c>
      <c r="U96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6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7" spans="1:22" hidden="1" x14ac:dyDescent="0.25">
      <c r="B97" s="39" t="s">
        <v>81</v>
      </c>
      <c r="C97" s="5">
        <v>43</v>
      </c>
      <c r="D97" s="6">
        <v>0.57899999999999996</v>
      </c>
      <c r="E97" s="20"/>
      <c r="F97" s="20"/>
      <c r="G97" s="7">
        <v>27</v>
      </c>
      <c r="H97" s="7"/>
      <c r="I97" s="7"/>
      <c r="J97" s="12">
        <f>INDEX(Tab_Rw[],MATCH(DoP[[#This Row],[Rg]],Tab_Rw[Rg],0),2)</f>
        <v>30</v>
      </c>
      <c r="K97" s="12"/>
      <c r="L97" s="12"/>
      <c r="M9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7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7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7" s="5">
        <v>0</v>
      </c>
      <c r="R97" s="5">
        <v>0</v>
      </c>
      <c r="S97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7" s="5">
        <f>IF(DoP[[#This Row],[if_IGU]]=1,psi_swisspacer_ultimate_1k,
IF(DoP[[#This Row],[if_IGU]]=2,psi_swisspacer_ultimate_2k,
0))</f>
        <v>0</v>
      </c>
      <c r="U97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7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8" spans="1:22" x14ac:dyDescent="0.25">
      <c r="A98">
        <v>24</v>
      </c>
      <c r="B98" s="1" t="s">
        <v>82</v>
      </c>
      <c r="C98" s="5">
        <v>24</v>
      </c>
      <c r="D98" s="6">
        <v>1.2669999999999999</v>
      </c>
      <c r="E98" s="20"/>
      <c r="F98" s="20"/>
      <c r="G98" s="7"/>
      <c r="H98" s="7"/>
      <c r="I98" s="7"/>
      <c r="J98" s="12"/>
      <c r="K98" s="12"/>
      <c r="L98" s="12"/>
      <c r="M9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8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8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8" s="5">
        <v>0</v>
      </c>
      <c r="R98" s="5">
        <v>0</v>
      </c>
      <c r="S98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8" s="5">
        <f>IF(DoP[[#This Row],[if_IGU]]=1,psi_swisspacer_ultimate_1k,
IF(DoP[[#This Row],[if_IGU]]=2,psi_swisspacer_ultimate_2k,
0))</f>
        <v>0</v>
      </c>
      <c r="U98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8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99" spans="1:22" x14ac:dyDescent="0.25">
      <c r="A99">
        <v>25</v>
      </c>
      <c r="B99" s="1" t="s">
        <v>83</v>
      </c>
      <c r="C99" s="5">
        <v>33</v>
      </c>
      <c r="D99" s="6">
        <v>0.94199999999999995</v>
      </c>
      <c r="E99" s="20"/>
      <c r="F99" s="20"/>
      <c r="G99" s="7"/>
      <c r="H99" s="7"/>
      <c r="I99" s="7"/>
      <c r="J99" s="12"/>
      <c r="K99" s="12"/>
      <c r="L99" s="12"/>
      <c r="M9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/>
      </c>
      <c r="N99" s="42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/>
      </c>
      <c r="O9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/>
      </c>
      <c r="P99" s="43" t="str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/>
      </c>
      <c r="Q99" s="5">
        <v>0</v>
      </c>
      <c r="R99" s="5">
        <v>0</v>
      </c>
      <c r="S99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99" s="5">
        <f>IF(DoP[[#This Row],[if_IGU]]=1,psi_swisspacer_ultimate_1k,
IF(DoP[[#This Row],[if_IGU]]=2,psi_swisspacer_ultimate_2k,
0))</f>
        <v>0</v>
      </c>
      <c r="U99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/>
      </c>
      <c r="V99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/>
      </c>
    </row>
    <row r="100" spans="1:22" x14ac:dyDescent="0.25">
      <c r="A100">
        <v>26</v>
      </c>
      <c r="B100" s="1" t="s">
        <v>84</v>
      </c>
      <c r="C100" s="5">
        <v>40</v>
      </c>
      <c r="D100" s="6">
        <v>0.78500000000000003</v>
      </c>
      <c r="E100" s="20"/>
      <c r="F100" s="20"/>
      <c r="G100" s="7"/>
      <c r="H100" s="7"/>
      <c r="I100" s="7"/>
      <c r="J100" s="12"/>
      <c r="K100" s="12"/>
      <c r="L100" s="12"/>
      <c r="M10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Al]]*main_Length_glass)/
(main_Area_frameSash+main_Area_mullion+main_Area_thresholdSash+main_Area_glass),TRUE,""),
TRUE,"")</f>
        <v>0.90988299274884643</v>
      </c>
      <c r="N100" s="42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Row],[width]]=40),(main_U_frameSash*main_Area_frameSash+main_U_mullion*main_Area_mullion+main_U_thresholdSash*main_Area_thresholdSash+DoP[[#This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8S",system_selection)),
_xlfn.IFS(OR(DoP[[#This Row],[width]]=32,DoP[[#This Row],[width]]=44,DoP[[#This Row],[width]]=43),(main_U_frameSash*main_Area_frameSash+main_U_mullion*main_Area_mullion+main_U_thresholdSash*main_Area_thresholdSash+DoP[[#This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(main_Area_frameSash+main_Area_mullion+main_Area_thresholdSash+main_Area_glass),TRUE,""),
TRUE,"")</f>
        <v>0.90988299274884643</v>
      </c>
      <c r="O10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Al]]*main_Length_glass)/
(main_Area_frameSash+main_Area_mullion+main_Area_thresholdSash+main_Area_glass)),TRUE,""),
TRUE,"")</f>
        <v>1.0990424131117136</v>
      </c>
      <c r="P100" s="43">
        <f>_xlfn.IFS(
OR(EXACT("window 5S",system_selection),EXACT("door 60 T92",system_selection),EXACT("door 60 T104",system_selection),EXACT("door 60 T116",system_selection),EXACT("door 60 Z104",system_selection),EXACT("french 60 Z78",system_selection)),
_xlfn.IFS(OR(DoP[[#This Row],[width]]=4,DoP[[#This Row],[width]]=6,DoP[[#This Row],[width]]=24,DoP[[#This Row],[width]]=32,DoP[[#This Row],[width]]=33),1/((main_U_frameSash*main_Area_frameSash+main_U_mullion*main_Area_mullion+main_U_thresholdSash*main_Area_thresholdSash+DoP[[#This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6S",system_selection),EXACT("window 7S",system_selection),EXACT("door 70 T116",system_selection),EXACT("door 70 Z104",system_selection),EXACT("french 70 Z78",system_selection)),
_xlfn.IFS(OR(DoP[[#This Row],[width]]=24,DoP[[#This Row],[width]]=32,DoP[[#This Row],[width]]=33,DoP[[#This Row],[width]]=40),1/((main_U_frameSash*main_Area_frameSash+main_U_mullion*main_Area_mullion+main_U_thresholdSash*main_Area_thresholdSash+DoP[[#This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8S",system_selection)),
_xlfn.IFS(OR(DoP[[#This Row],[width]]=32,DoP[[#This Row],[width]]=44,DoP[[#This Row],[width]]=43),1/((main_U_frameSash*main_Area_frameSash+main_U_mullion*main_Area_mullion+main_U_thresholdSash*main_Area_thresholdSash+DoP[[#This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OR(EXACT("window 76AD",system_selection),EXACT("window 76MD",system_selection),EXACT("door 76 T124",system_selection),EXACT("door 76 T106",system_selection),EXACT("door 76 Z114",system_selection),EXACT("french 76 Z76",system_selection)),
_xlfn.IFS(OR(DoP[[#This Row],[width]]=40,DoP[[#This Row],[width]]=48,DoP[[#This Row],[width]]=49),1/((main_U_frameSash*main_Area_frameSash+main_U_mullion*main_Area_mullion+main_U_thresholdSash*main_Area_thresholdSash+DoP[[#This Row],[Ug]]*main_Area_glass+DoP[[#This Row],[Psi warm]]*main_Length_glass)/
(main_Area_frameSash+main_Area_mullion+main_Area_thresholdSash+main_Area_glass)),TRUE,""),
TRUE,"")</f>
        <v>1.0990424131117136</v>
      </c>
      <c r="Q100" s="5">
        <v>0</v>
      </c>
      <c r="R100" s="5">
        <v>0</v>
      </c>
      <c r="S100" s="5">
        <f>IF(DoP[[#This Row],[if_IGU]]=1,
IF(DoP[[#This Row],[uncoated]]=TRUE,psi_Al_uncoated_1k,psi_Al_coated_1k),
IF(DoP[[#This Row],[if_IGU]]=2,
IF(DoP[[#This Row],[uncoated]]=TRUE,psi_Al_uncoated_2k,psi_Al_coated_2k),
0))</f>
        <v>0</v>
      </c>
      <c r="T100" s="5">
        <f>IF(DoP[[#This Row],[if_IGU]]=1,psi_swisspacer_ultimate_1k,
IF(DoP[[#This Row],[if_IGU]]=2,psi_swisspacer_ultimate_2k,
0))</f>
        <v>0</v>
      </c>
      <c r="U100" s="7" t="str">
        <f>IF(EXACT(DoP[R Aluminium],""),"",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Aluminium]&gt;=0.9,"w1",IF(AND(DoP[R Aluminium]&gt;=0.7,DoP[R Aluminium]&lt;0.9),"w2",FALSE)),
IF(DoP[R Aluminium]&gt;=0.7,"d1",IF(AND(DoP[R Aluminium]&gt;=0.6,DoP[R Aluminium]&lt;0.7),"d2",FALSE))))</f>
        <v>w1</v>
      </c>
      <c r="V100" s="7" t="str">
        <f>IF(EXACT(DoP[R Swisspacer],""),"",
IF(OR(
EXACT("window 5S",system_selection),
EXACT("window 6S",system_selection),
EXACT("window 7S",system_selection),
EXACT("window 8S",system_selection),
EXACT("window 76AD",system_selection),
EXACT("window 76MD",system_selection),
EXACT("french 60 Z78",system_selection),
EXACT("french 70 Z78",system_selection),
EXACT("french 76 Z76",system_selection)),
IF(DoP[R Swisspacer]&gt;=0.9,"w1",IF(AND(DoP[R Swisspacer]&gt;=0.7,DoP[R Swisspacer]&lt;0.9),"w2",FALSE)),
IF(DoP[R Swisspacer]&gt;=0.7,"d1",IF(AND(DoP[R Swisspacer]&gt;=0.6,DoP[R Swisspacer]&lt;0.7),"d2",FALSE))))</f>
        <v>w1</v>
      </c>
    </row>
  </sheetData>
  <sheetProtection password="EA15" sheet="1" objects="1" scenarios="1" autoFilter="0"/>
  <mergeCells count="1">
    <mergeCell ref="M2:P2"/>
  </mergeCells>
  <phoneticPr fontId="10" type="noConversion"/>
  <conditionalFormatting sqref="M5:N100">
    <cfRule type="cellIs" dxfId="76" priority="25" operator="greaterThan">
      <formula>1</formula>
    </cfRule>
  </conditionalFormatting>
  <conditionalFormatting sqref="P5:P100">
    <cfRule type="expression" dxfId="75" priority="26">
      <formula>$V5=FALSE</formula>
    </cfRule>
    <cfRule type="expression" dxfId="74" priority="27">
      <formula>$V5="w1"</formula>
    </cfRule>
    <cfRule type="expression" dxfId="73" priority="28">
      <formula>$V5="d1"</formula>
    </cfRule>
    <cfRule type="expression" dxfId="72" priority="29">
      <formula>$V5="w2"</formula>
    </cfRule>
    <cfRule type="expression" dxfId="71" priority="30">
      <formula>$V5="d2"</formula>
    </cfRule>
  </conditionalFormatting>
  <conditionalFormatting sqref="O5:O100">
    <cfRule type="expression" dxfId="70" priority="41">
      <formula>$U5=FALSE</formula>
    </cfRule>
    <cfRule type="expression" dxfId="69" priority="42">
      <formula>$U5="w1"</formula>
    </cfRule>
    <cfRule type="expression" dxfId="68" priority="43">
      <formula>$U5="d1"</formula>
    </cfRule>
    <cfRule type="expression" dxfId="67" priority="44">
      <formula>$U5="w2"</formula>
    </cfRule>
    <cfRule type="expression" dxfId="66" priority="45">
      <formula>$U5="d2"</formula>
    </cfRule>
  </conditionalFormatting>
  <conditionalFormatting sqref="E2">
    <cfRule type="cellIs" dxfId="65" priority="4" operator="equal">
      <formula>0</formula>
    </cfRule>
  </conditionalFormatting>
  <conditionalFormatting sqref="F2">
    <cfRule type="cellIs" dxfId="64" priority="3" operator="equal">
      <formula>0</formula>
    </cfRule>
  </conditionalFormatting>
  <conditionalFormatting sqref="G2">
    <cfRule type="cellIs" dxfId="63" priority="2" operator="equal">
      <formula>0</formula>
    </cfRule>
  </conditionalFormatting>
  <conditionalFormatting sqref="H2">
    <cfRule type="cellIs" dxfId="62" priority="1" operator="equal">
      <formula>0</formula>
    </cfRule>
  </conditionalFormatting>
  <dataValidations count="17">
    <dataValidation type="list" errorStyle="information" allowBlank="1" showInputMessage="1" showErrorMessage="1" prompt="Виберіть систему профілів з випадаючего списка" sqref="B2" xr:uid="{6882580B-D9C7-4E18-9889-69A335998632}">
      <formula1>INDIRECT("System[system]")</formula1>
    </dataValidation>
    <dataValidation allowBlank="1" showInputMessage="1" showErrorMessage="1" prompt="Формула склопакету або панелі" sqref="B4" xr:uid="{75C3E075-58F3-4BA6-B9A8-B3B60C9B9E5E}"/>
    <dataValidation allowBlank="1" showInputMessage="1" showErrorMessage="1" prompt="Ширина склопакету або панелі" sqref="C4" xr:uid="{2EC88E20-C747-4920-AFD4-2C896BCBB7F6}"/>
    <dataValidation allowBlank="1" showInputMessage="1" showErrorMessage="1" prompt="Коеф. теплопередачі склопакету AGC або панелі" sqref="D4" xr:uid="{6892DB36-B881-49B1-A371-AD2F23971490}"/>
    <dataValidation allowBlank="1" showInputMessage="1" showErrorMessage="1" prompt="Світлопроникність склопакету_x000a__x000a_[декларується]" sqref="E4" xr:uid="{D646E648-A2D3-4B63-B91C-5F730BFA96EB}"/>
    <dataValidation allowBlank="1" showInputMessage="1" showErrorMessage="1" prompt="Сонячний фактор склопакету_x000a__x000a_[декларується]" sqref="F4" xr:uid="{1C992ED4-A220-4D31-A544-F01ABB8BE871}"/>
    <dataValidation allowBlank="1" showInputMessage="1" showErrorMessage="1" prompt="Індекс звукоізоляції склопакету або панелі" sqref="G4" xr:uid="{8681B24B-4FEE-4380-BE54-0AB6BC976CAD}"/>
    <dataValidation allowBlank="1" showInputMessage="1" showErrorMessage="1" prompt="Адаптація для середньо та високочастотного шуму" sqref="H4 K4" xr:uid="{A953434E-D2AD-4E73-BAE0-DAB22039575C}"/>
    <dataValidation allowBlank="1" showInputMessage="1" showErrorMessage="1" prompt="Адаптація для низькочастотного шуму" sqref="I4 L4" xr:uid="{9BD0A810-5971-4F69-A025-A2DCB36CA4EB}"/>
    <dataValidation allowBlank="1" showInputMessage="1" showErrorMessage="1" prompt="Індекс звукоізоляції вікна_x000a_(для дверей треба випробування)_x000a__x000a_[декларується]" sqref="J4" xr:uid="{75855BF8-734A-49F9-99A6-D4BE30D0CFC3}"/>
    <dataValidation allowBlank="1" showInputMessage="1" showErrorMessage="1" prompt="Коеф. теплопередачі вікна або дверей з алюмінієвою дистанційною рамкою_x000a__x000a_[декларується]" sqref="M4" xr:uid="{761CEA86-018F-4D59-A2A4-9029363E4A05}"/>
    <dataValidation allowBlank="1" showInputMessage="1" showErrorMessage="1" prompt="Коеф. опору теплопередачі вікна або дверей з алюмінієвою дистанційною рамкою_x000a__x000a_червоним — значення, що не відповідають вимогам ДБН-31 синім — значення для II зони_x000a_зеленим — значення для I та II зони" sqref="O4" xr:uid="{1E891D8D-103C-4785-859C-DEDC5A553E9B}"/>
    <dataValidation allowBlank="1" showInputMessage="1" showErrorMessage="1" prompt="Коеф. теплопередачі вікна або дверей з теплою дистанційною рамкою_x000a__x000a_[декларується]" sqref="N4" xr:uid="{F50A917F-B557-484F-8B11-400ED977E6AC}"/>
    <dataValidation allowBlank="1" showInputMessage="1" showErrorMessage="1" prompt="Коеф. опору теплопередачі вікна або дверей з теплою дистанційною рамкою_x000a__x000a_червоним — значення, що не відповідають вимогам ДБН-31 синім — значення для II зони_x000a_зеленим — значення для I та II зони" sqref="P4" xr:uid="{D4AD98C8-C43D-4DC6-BB17-8D030C2D2754}"/>
    <dataValidation allowBlank="1" showInputMessage="1" showErrorMessage="1" prompt="Коеф. теплопередачі алюмінієвої дистанційної рамки" sqref="S4" xr:uid="{0D7BB5E6-B7CD-4F21-A2BC-0571FD33D1EE}"/>
    <dataValidation allowBlank="1" showInputMessage="1" showErrorMessage="1" prompt="Коеф. теплопередачі теплої дистанційної рамки" sqref="T4" xr:uid="{8C4BD94E-7A45-471D-9130-959010459327}"/>
    <dataValidation allowBlank="1" showInputMessage="1" showErrorMessage="1" prompt="Зніміть фільтр, щоб побачити більше заповнень" sqref="A4" xr:uid="{7A28703E-5DBE-4558-9821-76A44952E4B7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1"/>
  <sheetViews>
    <sheetView workbookViewId="0">
      <selection activeCell="A31" sqref="A31"/>
    </sheetView>
  </sheetViews>
  <sheetFormatPr defaultRowHeight="15" x14ac:dyDescent="0.25"/>
  <cols>
    <col min="1" max="1" width="176.42578125" bestFit="1" customWidth="1"/>
    <col min="2" max="2" width="30.5703125" hidden="1" customWidth="1"/>
    <col min="3" max="3" width="6" hidden="1" customWidth="1"/>
    <col min="4" max="4" width="9.140625" hidden="1" customWidth="1"/>
    <col min="5" max="5" width="13.7109375" hidden="1" customWidth="1"/>
    <col min="6" max="6" width="9.140625" hidden="1" customWidth="1"/>
    <col min="7" max="7" width="13.7109375" hidden="1" customWidth="1"/>
    <col min="8" max="8" width="14.7109375" hidden="1" customWidth="1"/>
    <col min="9" max="9" width="13.28515625" hidden="1" customWidth="1"/>
    <col min="10" max="10" width="16.28515625" hidden="1" customWidth="1"/>
    <col min="11" max="11" width="18" hidden="1" customWidth="1"/>
    <col min="12" max="12" width="30.28515625" hidden="1" customWidth="1"/>
    <col min="13" max="13" width="14.7109375" hidden="1" customWidth="1"/>
    <col min="14" max="14" width="12.5703125" hidden="1" customWidth="1"/>
    <col min="15" max="15" width="18" hidden="1" customWidth="1"/>
    <col min="16" max="16" width="14.85546875" hidden="1" customWidth="1"/>
    <col min="17" max="17" width="15.85546875" hidden="1" customWidth="1"/>
    <col min="18" max="18" width="14.7109375" hidden="1" customWidth="1"/>
    <col min="19" max="19" width="18.28515625" hidden="1" customWidth="1"/>
    <col min="20" max="20" width="13.42578125" hidden="1" customWidth="1"/>
    <col min="21" max="21" width="14.42578125" hidden="1" customWidth="1"/>
    <col min="22" max="22" width="13.28515625" hidden="1" customWidth="1"/>
    <col min="23" max="23" width="16.85546875" hidden="1" customWidth="1"/>
    <col min="24" max="24" width="12.28515625" hidden="1" customWidth="1"/>
    <col min="25" max="25" width="14" hidden="1" customWidth="1"/>
    <col min="26" max="26" width="26.85546875" hidden="1" customWidth="1"/>
    <col min="27" max="27" width="18.42578125" hidden="1" customWidth="1"/>
    <col min="28" max="29" width="22" hidden="1" customWidth="1"/>
    <col min="30" max="30" width="22.28515625" hidden="1" customWidth="1"/>
    <col min="31" max="31" width="17.28515625" hidden="1" customWidth="1"/>
    <col min="32" max="32" width="20.7109375" hidden="1" customWidth="1"/>
    <col min="33" max="33" width="12.140625" hidden="1" customWidth="1"/>
    <col min="34" max="34" width="14" hidden="1" customWidth="1"/>
  </cols>
  <sheetData>
    <row r="1" spans="1:34" x14ac:dyDescent="0.25">
      <c r="A1" s="30" t="s">
        <v>174</v>
      </c>
      <c r="B1" s="3" t="s">
        <v>85</v>
      </c>
      <c r="C1" s="4">
        <v>1230</v>
      </c>
      <c r="E1" t="s">
        <v>209</v>
      </c>
      <c r="G1" s="35" t="s">
        <v>228</v>
      </c>
      <c r="H1" s="35" t="s">
        <v>192</v>
      </c>
      <c r="I1" s="35" t="s">
        <v>193</v>
      </c>
      <c r="J1" s="35" t="s">
        <v>194</v>
      </c>
      <c r="K1" s="35" t="s">
        <v>195</v>
      </c>
      <c r="L1" s="35" t="s">
        <v>214</v>
      </c>
      <c r="M1" s="35" t="s">
        <v>196</v>
      </c>
      <c r="N1" s="35" t="s">
        <v>197</v>
      </c>
      <c r="O1" s="35" t="s">
        <v>198</v>
      </c>
      <c r="P1" s="35" t="s">
        <v>205</v>
      </c>
      <c r="Q1" s="35" t="s">
        <v>206</v>
      </c>
      <c r="R1" s="35" t="s">
        <v>207</v>
      </c>
      <c r="S1" s="35" t="s">
        <v>208</v>
      </c>
      <c r="T1" s="35" t="s">
        <v>210</v>
      </c>
      <c r="U1" s="35" t="s">
        <v>211</v>
      </c>
      <c r="V1" s="35" t="s">
        <v>212</v>
      </c>
      <c r="W1" s="35" t="s">
        <v>213</v>
      </c>
      <c r="X1" s="35" t="s">
        <v>215</v>
      </c>
      <c r="Y1" s="35" t="s">
        <v>216</v>
      </c>
      <c r="Z1" s="35" t="s">
        <v>217</v>
      </c>
      <c r="AA1" s="35" t="s">
        <v>224</v>
      </c>
      <c r="AB1" s="35" t="s">
        <v>225</v>
      </c>
      <c r="AC1" s="35" t="s">
        <v>226</v>
      </c>
      <c r="AD1" s="35" t="s">
        <v>227</v>
      </c>
      <c r="AE1" t="s">
        <v>199</v>
      </c>
      <c r="AF1" t="s">
        <v>200</v>
      </c>
      <c r="AG1" t="s">
        <v>230</v>
      </c>
      <c r="AH1" t="s">
        <v>204</v>
      </c>
    </row>
    <row r="2" spans="1:34" x14ac:dyDescent="0.25">
      <c r="A2" s="29" t="s">
        <v>160</v>
      </c>
      <c r="B2" s="3" t="s">
        <v>86</v>
      </c>
      <c r="C2" s="4">
        <v>1480</v>
      </c>
      <c r="E2" t="s">
        <v>177</v>
      </c>
      <c r="G2" s="35" t="s">
        <v>177</v>
      </c>
      <c r="H2" s="35">
        <v>61</v>
      </c>
      <c r="I2" s="35">
        <v>50</v>
      </c>
      <c r="J2" s="35">
        <v>0</v>
      </c>
      <c r="K2" s="35">
        <v>0</v>
      </c>
      <c r="L2" s="35">
        <v>0</v>
      </c>
      <c r="M2" s="35">
        <v>1.6</v>
      </c>
      <c r="N2" s="35">
        <v>0</v>
      </c>
      <c r="O2" s="35">
        <v>0</v>
      </c>
      <c r="P2" s="35">
        <f>(heightRefWindow-windows[[#This Row],[H_frame_out]])*windows[[#This Row],[H_frame_out]]/1000000</f>
        <v>8.6558999999999997E-2</v>
      </c>
      <c r="Q2" s="35">
        <f>(heightRefWindow-windows[[#This Row],[H_frame_out]])*windows[[#This Row],[H_frame_out]]/1000000</f>
        <v>8.6558999999999997E-2</v>
      </c>
      <c r="R2" s="35">
        <f>(widthRefWindow-windows[[#This Row],[H_frame_out]])*windows[[#This Row],[H_frame_out]]/1000000</f>
        <v>7.1308999999999997E-2</v>
      </c>
      <c r="S2" s="35">
        <f>(widthRefWindow-windows[[#This Row],[H_frame_out]])*windows[[#This Row],[H_frame_out]]/1000000</f>
        <v>7.1308999999999997E-2</v>
      </c>
      <c r="T2" s="35">
        <f>(heightRefWindow-2*windows[[#This Row],[H_frame_out]]-windows[[#This Row],[H_sash_out]])*windows[[#This Row],[H_sash_out]]/1000000</f>
        <v>6.54E-2</v>
      </c>
      <c r="U2" s="35">
        <f>(heightRefWindow-2*windows[[#This Row],[H_frame_out]]-windows[[#This Row],[H_sash_out]])*windows[[#This Row],[H_sash_out]]/1000000</f>
        <v>6.54E-2</v>
      </c>
      <c r="V2" s="35">
        <f>(widthRefWindow-2*windows[[#This Row],[H_frame_out]]-windows[[#This Row],[H_sash_out]])*windows[[#This Row],[H_sash_out]]/1000000</f>
        <v>5.2900000000000003E-2</v>
      </c>
      <c r="W2" s="35">
        <f>(widthRefWindow-2*windows[[#This Row],[H_frame_out]]-windows[[#This Row],[H_sash_out]])*windows[[#This Row],[H_sash_out]]/1000000</f>
        <v>5.2900000000000003E-2</v>
      </c>
      <c r="X2" s="35">
        <v>0</v>
      </c>
      <c r="Y2" s="35">
        <v>0</v>
      </c>
      <c r="Z2" s="35">
        <v>0</v>
      </c>
      <c r="AA2" s="35">
        <f>(widthRefWindow-2*windows[[#This Row],[H_frame_out]]-2*windows[[#This Row],[H_sash_out]])/1000</f>
        <v>1.008</v>
      </c>
      <c r="AB2" s="35">
        <f>(heightRefWindow-2*windows[[#This Row],[H_frame_out]]-2*windows[[#This Row],[H_sash_out]])/1000</f>
        <v>1.258</v>
      </c>
      <c r="AC2">
        <v>0</v>
      </c>
      <c r="AD2">
        <v>0</v>
      </c>
      <c r="AE2">
        <f>windows[[#This Row],[A_frame_left]]+windows[[#This Row],[A_sash_left]]+windows[[#This Row],[A_frame_right]]+windows[[#This Row],[A_sash_right]]+windows[[#This Row],[A_frame_top]]+windows[[#This Row],[A_sash_top]]+windows[[#This Row],[A_frame_bottom]]+windows[[#This Row],[A_sash_bottom]]</f>
        <v>0.55233600000000005</v>
      </c>
      <c r="AF2" s="36">
        <f>windows[[#This Row],[A_threshold]]+windows[[#This Row],[A_betweenThresholdSash]]</f>
        <v>0</v>
      </c>
      <c r="AG2" s="36">
        <f>windows[[#This Row],[Width_glass_top]]*windows[[#This Row],[Height_glass_top]]</f>
        <v>1.2680640000000001</v>
      </c>
      <c r="AH2" s="36">
        <f>(windows[[#This Row],[Width_glass_top]]+windows[[#This Row],[Height_glass_top]])*2</f>
        <v>4.532</v>
      </c>
    </row>
    <row r="3" spans="1:34" x14ac:dyDescent="0.25">
      <c r="A3" s="29" t="s">
        <v>159</v>
      </c>
      <c r="B3" s="3" t="s">
        <v>175</v>
      </c>
      <c r="C3" s="4">
        <v>1100</v>
      </c>
      <c r="E3" t="s">
        <v>178</v>
      </c>
      <c r="G3" s="35" t="s">
        <v>178</v>
      </c>
      <c r="H3" s="35">
        <v>61</v>
      </c>
      <c r="I3" s="35">
        <v>50</v>
      </c>
      <c r="J3" s="35">
        <v>0</v>
      </c>
      <c r="K3" s="35">
        <v>0</v>
      </c>
      <c r="L3" s="35">
        <v>0</v>
      </c>
      <c r="M3" s="35">
        <v>1.3</v>
      </c>
      <c r="N3" s="35">
        <v>0</v>
      </c>
      <c r="O3" s="35">
        <v>0</v>
      </c>
      <c r="P3" s="35">
        <f>(heightRefWindow-windows[[#This Row],[H_frame_out]])*windows[[#This Row],[H_frame_out]]/1000000</f>
        <v>8.6558999999999997E-2</v>
      </c>
      <c r="Q3" s="35">
        <f>(heightRefWindow-windows[[#This Row],[H_frame_out]])*windows[[#This Row],[H_frame_out]]/1000000</f>
        <v>8.6558999999999997E-2</v>
      </c>
      <c r="R3" s="35">
        <f>(widthRefWindow-windows[[#This Row],[H_frame_out]])*windows[[#This Row],[H_frame_out]]/1000000</f>
        <v>7.1308999999999997E-2</v>
      </c>
      <c r="S3" s="35">
        <f>(widthRefWindow-windows[[#This Row],[H_frame_out]])*windows[[#This Row],[H_frame_out]]/1000000</f>
        <v>7.1308999999999997E-2</v>
      </c>
      <c r="T3" s="35">
        <f>(heightRefWindow-2*windows[[#This Row],[H_frame_out]]-windows[[#This Row],[H_sash_out]])*windows[[#This Row],[H_sash_out]]/1000000</f>
        <v>6.54E-2</v>
      </c>
      <c r="U3" s="35">
        <f>(heightRefWindow-2*windows[[#This Row],[H_frame_out]]-windows[[#This Row],[H_sash_out]])*windows[[#This Row],[H_sash_out]]/1000000</f>
        <v>6.54E-2</v>
      </c>
      <c r="V3" s="35">
        <f>(widthRefWindow-2*windows[[#This Row],[H_frame_out]]-windows[[#This Row],[H_sash_out]])*windows[[#This Row],[H_sash_out]]/1000000</f>
        <v>5.2900000000000003E-2</v>
      </c>
      <c r="W3" s="35">
        <f>(widthRefWindow-2*windows[[#This Row],[H_frame_out]]-windows[[#This Row],[H_sash_out]])*windows[[#This Row],[H_sash_out]]/1000000</f>
        <v>5.2900000000000003E-2</v>
      </c>
      <c r="X3" s="35">
        <v>0</v>
      </c>
      <c r="Y3" s="35">
        <v>0</v>
      </c>
      <c r="Z3" s="35">
        <v>0</v>
      </c>
      <c r="AA3" s="35">
        <f>(widthRefWindow-2*windows[[#This Row],[H_frame_out]]-2*windows[[#This Row],[H_sash_out]])/1000</f>
        <v>1.008</v>
      </c>
      <c r="AB3" s="35">
        <f>(heightRefWindow-2*windows[[#This Row],[H_frame_out]]-2*windows[[#This Row],[H_sash_out]])/1000</f>
        <v>1.258</v>
      </c>
      <c r="AC3">
        <v>0</v>
      </c>
      <c r="AD3">
        <v>0</v>
      </c>
      <c r="AE3">
        <f>windows[[#This Row],[A_frame_left]]+windows[[#This Row],[A_sash_left]]+windows[[#This Row],[A_frame_right]]+windows[[#This Row],[A_sash_right]]+windows[[#This Row],[A_frame_top]]+windows[[#This Row],[A_sash_top]]+windows[[#This Row],[A_frame_bottom]]+windows[[#This Row],[A_sash_bottom]]</f>
        <v>0.55233600000000005</v>
      </c>
      <c r="AF3" s="36">
        <f>windows[[#This Row],[A_threshold]]+windows[[#This Row],[A_betweenThresholdSash]]</f>
        <v>0</v>
      </c>
      <c r="AG3" s="36">
        <f>windows[[#This Row],[Width_glass_top]]*windows[[#This Row],[Height_glass_top]]</f>
        <v>1.2680640000000001</v>
      </c>
      <c r="AH3" s="36">
        <f>(windows[[#This Row],[Width_glass_top]]+windows[[#This Row],[Height_glass_top]])*2</f>
        <v>4.532</v>
      </c>
    </row>
    <row r="4" spans="1:34" x14ac:dyDescent="0.25">
      <c r="A4" s="28"/>
      <c r="B4" s="3" t="s">
        <v>176</v>
      </c>
      <c r="C4" s="4">
        <v>2180</v>
      </c>
      <c r="E4" t="s">
        <v>201</v>
      </c>
      <c r="G4" s="35" t="s">
        <v>201</v>
      </c>
      <c r="H4" s="35">
        <v>66</v>
      </c>
      <c r="I4" s="35">
        <v>52</v>
      </c>
      <c r="J4" s="35">
        <v>0</v>
      </c>
      <c r="K4" s="35">
        <v>0</v>
      </c>
      <c r="L4" s="35">
        <v>0</v>
      </c>
      <c r="M4" s="35">
        <v>1.4</v>
      </c>
      <c r="N4" s="35">
        <v>0</v>
      </c>
      <c r="O4" s="35">
        <v>0</v>
      </c>
      <c r="P4" s="35">
        <f>(heightRefWindow-windows[[#This Row],[H_frame_out]])*windows[[#This Row],[H_frame_out]]/1000000</f>
        <v>9.3324000000000004E-2</v>
      </c>
      <c r="Q4" s="35">
        <f>(heightRefWindow-windows[[#This Row],[H_frame_out]])*windows[[#This Row],[H_frame_out]]/1000000</f>
        <v>9.3324000000000004E-2</v>
      </c>
      <c r="R4" s="35">
        <f>(widthRefWindow-windows[[#This Row],[H_frame_out]])*windows[[#This Row],[H_frame_out]]/1000000</f>
        <v>7.6824000000000003E-2</v>
      </c>
      <c r="S4" s="35">
        <f>(widthRefWindow-windows[[#This Row],[H_frame_out]])*windows[[#This Row],[H_frame_out]]/1000000</f>
        <v>7.6824000000000003E-2</v>
      </c>
      <c r="T4" s="35">
        <f>(heightRefWindow-2*windows[[#This Row],[H_frame_out]]-windows[[#This Row],[H_sash_out]])*windows[[#This Row],[H_sash_out]]/1000000</f>
        <v>6.7391999999999994E-2</v>
      </c>
      <c r="U4" s="35">
        <f>(heightRefWindow-2*windows[[#This Row],[H_frame_out]]-windows[[#This Row],[H_sash_out]])*windows[[#This Row],[H_sash_out]]/1000000</f>
        <v>6.7391999999999994E-2</v>
      </c>
      <c r="V4" s="35">
        <f>(widthRefWindow-2*windows[[#This Row],[H_frame_out]]-windows[[#This Row],[H_sash_out]])*windows[[#This Row],[H_sash_out]]/1000000</f>
        <v>5.4392000000000003E-2</v>
      </c>
      <c r="W4" s="35">
        <f>(widthRefWindow-2*windows[[#This Row],[H_frame_out]]-windows[[#This Row],[H_sash_out]])*windows[[#This Row],[H_sash_out]]/1000000</f>
        <v>5.4392000000000003E-2</v>
      </c>
      <c r="X4" s="35">
        <v>0</v>
      </c>
      <c r="Y4" s="35">
        <v>0</v>
      </c>
      <c r="Z4" s="35">
        <v>0</v>
      </c>
      <c r="AA4" s="35">
        <f>(widthRefWindow-2*windows[[#This Row],[H_frame_out]]-2*windows[[#This Row],[H_sash_out]])/1000</f>
        <v>0.99399999999999999</v>
      </c>
      <c r="AB4" s="35">
        <f>(heightRefWindow-2*windows[[#This Row],[H_frame_out]]-2*windows[[#This Row],[H_sash_out]])/1000</f>
        <v>1.244</v>
      </c>
      <c r="AC4">
        <v>0</v>
      </c>
      <c r="AD4">
        <v>0</v>
      </c>
      <c r="AE4">
        <f>windows[[#This Row],[A_frame_left]]+windows[[#This Row],[A_sash_left]]+windows[[#This Row],[A_frame_right]]+windows[[#This Row],[A_sash_right]]+windows[[#This Row],[A_frame_top]]+windows[[#This Row],[A_sash_top]]+windows[[#This Row],[A_frame_bottom]]+windows[[#This Row],[A_sash_bottom]]</f>
        <v>0.58386399999999994</v>
      </c>
      <c r="AF4" s="36">
        <f>windows[[#This Row],[A_threshold]]+windows[[#This Row],[A_betweenThresholdSash]]</f>
        <v>0</v>
      </c>
      <c r="AG4" s="36">
        <f>windows[[#This Row],[Width_glass_top]]*windows[[#This Row],[Height_glass_top]]</f>
        <v>1.2365360000000001</v>
      </c>
      <c r="AH4" s="36">
        <f>(windows[[#This Row],[Width_glass_top]]+windows[[#This Row],[Height_glass_top]])*2</f>
        <v>4.476</v>
      </c>
    </row>
    <row r="5" spans="1:34" x14ac:dyDescent="0.25">
      <c r="A5" s="31" t="s">
        <v>171</v>
      </c>
      <c r="B5" s="32" t="s">
        <v>220</v>
      </c>
      <c r="C5" s="34">
        <v>0.06</v>
      </c>
      <c r="E5" t="s">
        <v>179</v>
      </c>
      <c r="G5" s="35" t="s">
        <v>179</v>
      </c>
      <c r="H5" s="35">
        <v>69</v>
      </c>
      <c r="I5" s="35">
        <v>48</v>
      </c>
      <c r="J5" s="35">
        <v>0</v>
      </c>
      <c r="K5" s="35">
        <v>0</v>
      </c>
      <c r="L5" s="35">
        <v>0</v>
      </c>
      <c r="M5" s="35">
        <v>1.2</v>
      </c>
      <c r="N5" s="35">
        <v>0</v>
      </c>
      <c r="O5" s="35">
        <v>0</v>
      </c>
      <c r="P5" s="35">
        <f>(heightRefWindow-windows[[#This Row],[H_frame_out]])*windows[[#This Row],[H_frame_out]]/1000000</f>
        <v>9.7359000000000001E-2</v>
      </c>
      <c r="Q5" s="35">
        <f>(heightRefWindow-windows[[#This Row],[H_frame_out]])*windows[[#This Row],[H_frame_out]]/1000000</f>
        <v>9.7359000000000001E-2</v>
      </c>
      <c r="R5" s="35">
        <f>(widthRefWindow-windows[[#This Row],[H_frame_out]])*windows[[#This Row],[H_frame_out]]/1000000</f>
        <v>8.0109E-2</v>
      </c>
      <c r="S5" s="35">
        <f>(widthRefWindow-windows[[#This Row],[H_frame_out]])*windows[[#This Row],[H_frame_out]]/1000000</f>
        <v>8.0109E-2</v>
      </c>
      <c r="T5" s="35">
        <f>(heightRefWindow-2*windows[[#This Row],[H_frame_out]]-windows[[#This Row],[H_sash_out]])*windows[[#This Row],[H_sash_out]]/1000000</f>
        <v>6.2112000000000001E-2</v>
      </c>
      <c r="U5" s="35">
        <f>(heightRefWindow-2*windows[[#This Row],[H_frame_out]]-windows[[#This Row],[H_sash_out]])*windows[[#This Row],[H_sash_out]]/1000000</f>
        <v>6.2112000000000001E-2</v>
      </c>
      <c r="V5" s="35">
        <f>(widthRefWindow-2*windows[[#This Row],[H_frame_out]]-windows[[#This Row],[H_sash_out]])*windows[[#This Row],[H_sash_out]]/1000000</f>
        <v>5.0111999999999997E-2</v>
      </c>
      <c r="W5" s="35">
        <f>(widthRefWindow-2*windows[[#This Row],[H_frame_out]]-windows[[#This Row],[H_sash_out]])*windows[[#This Row],[H_sash_out]]/1000000</f>
        <v>5.0111999999999997E-2</v>
      </c>
      <c r="X5" s="35">
        <v>0</v>
      </c>
      <c r="Y5" s="35">
        <v>0</v>
      </c>
      <c r="Z5" s="35">
        <v>0</v>
      </c>
      <c r="AA5" s="35">
        <f>(widthRefWindow-2*windows[[#This Row],[H_frame_out]]-2*windows[[#This Row],[H_sash_out]])/1000</f>
        <v>0.996</v>
      </c>
      <c r="AB5" s="35">
        <f>(heightRefWindow-2*windows[[#This Row],[H_frame_out]]-2*windows[[#This Row],[H_sash_out]])/1000</f>
        <v>1.246</v>
      </c>
      <c r="AC5">
        <v>0</v>
      </c>
      <c r="AD5">
        <v>0</v>
      </c>
      <c r="AE5">
        <f>windows[[#This Row],[A_frame_left]]+windows[[#This Row],[A_sash_left]]+windows[[#This Row],[A_frame_right]]+windows[[#This Row],[A_sash_right]]+windows[[#This Row],[A_frame_top]]+windows[[#This Row],[A_sash_top]]+windows[[#This Row],[A_frame_bottom]]+windows[[#This Row],[A_sash_bottom]]</f>
        <v>0.57938400000000001</v>
      </c>
      <c r="AF5" s="36">
        <f>windows[[#This Row],[A_threshold]]+windows[[#This Row],[A_betweenThresholdSash]]</f>
        <v>0</v>
      </c>
      <c r="AG5" s="36">
        <f>windows[[#This Row],[Width_glass_top]]*windows[[#This Row],[Height_glass_top]]</f>
        <v>1.2410159999999999</v>
      </c>
      <c r="AH5" s="36">
        <f>(windows[[#This Row],[Width_glass_top]]+windows[[#This Row],[Height_glass_top]])*2</f>
        <v>4.484</v>
      </c>
    </row>
    <row r="6" spans="1:34" x14ac:dyDescent="0.25">
      <c r="A6" s="28" t="s">
        <v>172</v>
      </c>
      <c r="B6" s="32" t="s">
        <v>221</v>
      </c>
      <c r="C6" s="34">
        <v>0.06</v>
      </c>
      <c r="E6" t="s">
        <v>180</v>
      </c>
      <c r="G6" s="35" t="s">
        <v>180</v>
      </c>
      <c r="H6" s="35">
        <v>62</v>
      </c>
      <c r="I6" s="35">
        <v>48</v>
      </c>
      <c r="J6" s="35">
        <v>0</v>
      </c>
      <c r="K6" s="35">
        <v>0</v>
      </c>
      <c r="L6" s="35">
        <v>0</v>
      </c>
      <c r="M6" s="56">
        <v>1.2</v>
      </c>
      <c r="N6" s="35">
        <v>0</v>
      </c>
      <c r="O6" s="35">
        <v>0</v>
      </c>
      <c r="P6" s="35">
        <f>(heightRefWindow-windows[[#This Row],[H_frame_out]])*windows[[#This Row],[H_frame_out]]/1000000</f>
        <v>8.7915999999999994E-2</v>
      </c>
      <c r="Q6" s="35">
        <f>(heightRefWindow-windows[[#This Row],[H_frame_out]])*windows[[#This Row],[H_frame_out]]/1000000</f>
        <v>8.7915999999999994E-2</v>
      </c>
      <c r="R6" s="35">
        <f>(widthRefWindow-windows[[#This Row],[H_frame_out]])*windows[[#This Row],[H_frame_out]]/1000000</f>
        <v>7.2415999999999994E-2</v>
      </c>
      <c r="S6" s="35">
        <f>(widthRefWindow-windows[[#This Row],[H_frame_out]])*windows[[#This Row],[H_frame_out]]/1000000</f>
        <v>7.2415999999999994E-2</v>
      </c>
      <c r="T6" s="35">
        <f>(heightRefWindow-2*windows[[#This Row],[H_frame_out]]-windows[[#This Row],[H_sash_out]])*windows[[#This Row],[H_sash_out]]/1000000</f>
        <v>6.2784000000000006E-2</v>
      </c>
      <c r="U6" s="35">
        <f>(heightRefWindow-2*windows[[#This Row],[H_frame_out]]-windows[[#This Row],[H_sash_out]])*windows[[#This Row],[H_sash_out]]/1000000</f>
        <v>6.2784000000000006E-2</v>
      </c>
      <c r="V6" s="35">
        <f>(widthRefWindow-2*windows[[#This Row],[H_frame_out]]-windows[[#This Row],[H_sash_out]])*windows[[#This Row],[H_sash_out]]/1000000</f>
        <v>5.0784000000000003E-2</v>
      </c>
      <c r="W6" s="35">
        <f>(widthRefWindow-2*windows[[#This Row],[H_frame_out]]-windows[[#This Row],[H_sash_out]])*windows[[#This Row],[H_sash_out]]/1000000</f>
        <v>5.0784000000000003E-2</v>
      </c>
      <c r="X6" s="35">
        <v>0</v>
      </c>
      <c r="Y6" s="35">
        <v>0</v>
      </c>
      <c r="Z6" s="35">
        <v>0</v>
      </c>
      <c r="AA6" s="35">
        <f>(widthRefWindow-2*windows[[#This Row],[H_frame_out]]-2*windows[[#This Row],[H_sash_out]])/1000</f>
        <v>1.01</v>
      </c>
      <c r="AB6" s="35">
        <f>(heightRefWindow-2*windows[[#This Row],[H_frame_out]]-2*windows[[#This Row],[H_sash_out]])/1000</f>
        <v>1.26</v>
      </c>
      <c r="AC6">
        <v>0</v>
      </c>
      <c r="AD6">
        <v>0</v>
      </c>
      <c r="AE6">
        <f>windows[[#This Row],[A_frame_left]]+windows[[#This Row],[A_sash_left]]+windows[[#This Row],[A_frame_right]]+windows[[#This Row],[A_sash_right]]+windows[[#This Row],[A_frame_top]]+windows[[#This Row],[A_sash_top]]+windows[[#This Row],[A_frame_bottom]]+windows[[#This Row],[A_sash_bottom]]</f>
        <v>0.54779999999999995</v>
      </c>
      <c r="AF6" s="36">
        <f>windows[[#This Row],[A_threshold]]+windows[[#This Row],[A_betweenThresholdSash]]</f>
        <v>0</v>
      </c>
      <c r="AG6" s="36">
        <f>windows[[#This Row],[Width_glass_top]]*windows[[#This Row],[Height_glass_top]]</f>
        <v>1.2726</v>
      </c>
      <c r="AH6" s="36">
        <f>(windows[[#This Row],[Width_glass_top]]+windows[[#This Row],[Height_glass_top]])*2</f>
        <v>4.54</v>
      </c>
    </row>
    <row r="7" spans="1:34" x14ac:dyDescent="0.25">
      <c r="A7" s="27" t="s">
        <v>173</v>
      </c>
      <c r="B7" s="32" t="s">
        <v>222</v>
      </c>
      <c r="C7" s="34">
        <v>0.08</v>
      </c>
      <c r="E7" t="s">
        <v>181</v>
      </c>
      <c r="G7" s="35" t="s">
        <v>181</v>
      </c>
      <c r="H7" s="35">
        <v>67</v>
      </c>
      <c r="I7" s="35">
        <v>43</v>
      </c>
      <c r="J7" s="35">
        <v>0</v>
      </c>
      <c r="K7" s="35">
        <v>0</v>
      </c>
      <c r="L7" s="35">
        <v>0</v>
      </c>
      <c r="M7" s="35">
        <v>1.2</v>
      </c>
      <c r="N7" s="35">
        <v>0</v>
      </c>
      <c r="O7" s="35">
        <v>0</v>
      </c>
      <c r="P7" s="35">
        <f>(heightRefWindow-windows[[#This Row],[H_frame_out]])*windows[[#This Row],[H_frame_out]]/1000000</f>
        <v>9.4671000000000005E-2</v>
      </c>
      <c r="Q7" s="35">
        <f>(heightRefWindow-windows[[#This Row],[H_frame_out]])*windows[[#This Row],[H_frame_out]]/1000000</f>
        <v>9.4671000000000005E-2</v>
      </c>
      <c r="R7" s="35">
        <f>(widthRefWindow-windows[[#This Row],[H_frame_out]])*windows[[#This Row],[H_frame_out]]/1000000</f>
        <v>7.7921000000000004E-2</v>
      </c>
      <c r="S7" s="35">
        <f>(widthRefWindow-windows[[#This Row],[H_frame_out]])*windows[[#This Row],[H_frame_out]]/1000000</f>
        <v>7.7921000000000004E-2</v>
      </c>
      <c r="T7" s="35">
        <f>(heightRefWindow-2*windows[[#This Row],[H_frame_out]]-windows[[#This Row],[H_sash_out]])*windows[[#This Row],[H_sash_out]]/1000000</f>
        <v>5.6029000000000002E-2</v>
      </c>
      <c r="U7" s="35">
        <f>(heightRefWindow-2*windows[[#This Row],[H_frame_out]]-windows[[#This Row],[H_sash_out]])*windows[[#This Row],[H_sash_out]]/1000000</f>
        <v>5.6029000000000002E-2</v>
      </c>
      <c r="V7" s="35">
        <f>(widthRefWindow-2*windows[[#This Row],[H_frame_out]]-windows[[#This Row],[H_sash_out]])*windows[[#This Row],[H_sash_out]]/1000000</f>
        <v>4.5279E-2</v>
      </c>
      <c r="W7" s="35">
        <f>(widthRefWindow-2*windows[[#This Row],[H_frame_out]]-windows[[#This Row],[H_sash_out]])*windows[[#This Row],[H_sash_out]]/1000000</f>
        <v>4.5279E-2</v>
      </c>
      <c r="X7" s="35">
        <v>0</v>
      </c>
      <c r="Y7" s="35">
        <v>0</v>
      </c>
      <c r="Z7" s="35">
        <v>0</v>
      </c>
      <c r="AA7" s="35">
        <f>(widthRefWindow-2*windows[[#This Row],[H_frame_out]]-2*windows[[#This Row],[H_sash_out]])/1000</f>
        <v>1.01</v>
      </c>
      <c r="AB7" s="35">
        <f>(heightRefWindow-2*windows[[#This Row],[H_frame_out]]-2*windows[[#This Row],[H_sash_out]])/1000</f>
        <v>1.26</v>
      </c>
      <c r="AC7">
        <v>0</v>
      </c>
      <c r="AD7">
        <v>0</v>
      </c>
      <c r="AE7">
        <f>windows[[#This Row],[A_frame_left]]+windows[[#This Row],[A_sash_left]]+windows[[#This Row],[A_frame_right]]+windows[[#This Row],[A_sash_right]]+windows[[#This Row],[A_frame_top]]+windows[[#This Row],[A_sash_top]]+windows[[#This Row],[A_frame_bottom]]+windows[[#This Row],[A_sash_bottom]]</f>
        <v>0.54779999999999995</v>
      </c>
      <c r="AF7" s="36">
        <f>windows[[#This Row],[A_threshold]]+windows[[#This Row],[A_betweenThresholdSash]]</f>
        <v>0</v>
      </c>
      <c r="AG7" s="36">
        <f>windows[[#This Row],[Width_glass_top]]*windows[[#This Row],[Height_glass_top]]</f>
        <v>1.2726</v>
      </c>
      <c r="AH7" s="36">
        <f>(windows[[#This Row],[Width_glass_top]]+windows[[#This Row],[Height_glass_top]])*2</f>
        <v>4.54</v>
      </c>
    </row>
    <row r="8" spans="1:34" x14ac:dyDescent="0.25">
      <c r="A8" s="27" t="s">
        <v>161</v>
      </c>
      <c r="B8" s="32" t="s">
        <v>223</v>
      </c>
      <c r="C8" s="34">
        <v>0.08</v>
      </c>
      <c r="E8" t="s">
        <v>182</v>
      </c>
    </row>
    <row r="9" spans="1:34" x14ac:dyDescent="0.25">
      <c r="A9" s="27" t="s">
        <v>167</v>
      </c>
      <c r="B9" s="33" t="s">
        <v>218</v>
      </c>
      <c r="C9" s="34">
        <v>3.2000000000000001E-2</v>
      </c>
      <c r="E9" t="s">
        <v>183</v>
      </c>
      <c r="G9" t="s">
        <v>229</v>
      </c>
      <c r="H9" t="s">
        <v>192</v>
      </c>
      <c r="I9" t="s">
        <v>193</v>
      </c>
      <c r="J9" t="s">
        <v>194</v>
      </c>
      <c r="K9" t="s">
        <v>195</v>
      </c>
      <c r="L9" t="s">
        <v>214</v>
      </c>
      <c r="M9" t="s">
        <v>196</v>
      </c>
      <c r="N9" t="s">
        <v>197</v>
      </c>
      <c r="O9" t="s">
        <v>198</v>
      </c>
      <c r="P9" t="s">
        <v>205</v>
      </c>
      <c r="Q9" t="s">
        <v>206</v>
      </c>
      <c r="R9" t="s">
        <v>207</v>
      </c>
      <c r="S9" t="s">
        <v>208</v>
      </c>
      <c r="T9" t="s">
        <v>210</v>
      </c>
      <c r="U9" t="s">
        <v>211</v>
      </c>
      <c r="V9" t="s">
        <v>212</v>
      </c>
      <c r="W9" t="s">
        <v>213</v>
      </c>
      <c r="X9" t="s">
        <v>215</v>
      </c>
      <c r="Y9" t="s">
        <v>216</v>
      </c>
      <c r="Z9" t="s">
        <v>217</v>
      </c>
      <c r="AA9" s="35" t="s">
        <v>224</v>
      </c>
      <c r="AB9" s="35" t="s">
        <v>225</v>
      </c>
      <c r="AC9" s="35" t="s">
        <v>226</v>
      </c>
      <c r="AD9" s="35" t="s">
        <v>227</v>
      </c>
      <c r="AE9" t="s">
        <v>199</v>
      </c>
      <c r="AF9" t="s">
        <v>200</v>
      </c>
      <c r="AG9" t="s">
        <v>230</v>
      </c>
      <c r="AH9" t="s">
        <v>204</v>
      </c>
    </row>
    <row r="10" spans="1:34" x14ac:dyDescent="0.25">
      <c r="A10" s="27" t="s">
        <v>162</v>
      </c>
      <c r="B10" s="33" t="s">
        <v>219</v>
      </c>
      <c r="C10" s="34">
        <v>0.03</v>
      </c>
      <c r="E10" t="s">
        <v>184</v>
      </c>
      <c r="G10" t="s">
        <v>182</v>
      </c>
      <c r="H10">
        <v>66</v>
      </c>
      <c r="I10">
        <v>64</v>
      </c>
      <c r="J10">
        <v>80</v>
      </c>
      <c r="K10">
        <v>30</v>
      </c>
      <c r="L10">
        <v>20</v>
      </c>
      <c r="M10">
        <v>1.7</v>
      </c>
      <c r="N10">
        <v>1.4</v>
      </c>
      <c r="O10">
        <v>2.9</v>
      </c>
      <c r="P10">
        <f>((2*heightRefDoor-doors[[#This Row],[H_frame_out]])*doors[[#This Row],[H_frame_out]]/2)/1000000</f>
        <v>0.14170199999999999</v>
      </c>
      <c r="Q10">
        <f>((2*heightRefDoor-doors[[#This Row],[H_frame_out]])*doors[[#This Row],[H_frame_out]]/2)/1000000</f>
        <v>0.14170199999999999</v>
      </c>
      <c r="R10">
        <f>(widthRefDoor-doors[[#This Row],[H_frame_out]])*doors[[#This Row],[H_frame_out]]/1000000</f>
        <v>6.8243999999999999E-2</v>
      </c>
      <c r="S10">
        <v>0</v>
      </c>
      <c r="T10">
        <f>(heightRefDoor-doors[[#This Row],[H_frame_out]]-doors[[#This Row],[H_threshold_out]]-doors[[#This Row],[H_betweenThresholdSash_out]]-doors[[#This Row],[H_sash_out]])*doors[[#This Row],[H_sash_out]]/1000000</f>
        <v>0.128</v>
      </c>
      <c r="U10">
        <f>(heightRefDoor-doors[[#This Row],[H_frame_out]]-doors[[#This Row],[H_threshold_out]]-doors[[#This Row],[H_betweenThresholdSash_out]]-doors[[#This Row],[H_sash_out]])*doors[[#This Row],[H_sash_out]]/1000000</f>
        <v>0.128</v>
      </c>
      <c r="V10">
        <f>(widthRefDoor-2*doors[[#This Row],[H_frame_out]]-doors[[#This Row],[H_sash_out]])*doors[[#This Row],[H_sash_out]]/1000000</f>
        <v>5.7855999999999998E-2</v>
      </c>
      <c r="W10">
        <f>(widthRefDoor-2*doors[[#This Row],[H_frame_out]]-doors[[#This Row],[H_sash_out]])*doors[[#This Row],[H_sash_out]]/1000000</f>
        <v>5.7855999999999998E-2</v>
      </c>
      <c r="X10">
        <f>(widthRefDoor-2*doors[[#This Row],[H_frame_out]]-2*doors[[#This Row],[H_sash_out]])*doors[[#This Row],[H_mullion_out]]/1000000</f>
        <v>6.7199999999999996E-2</v>
      </c>
      <c r="Y10">
        <f>widthRefDoor*doors[[#This Row],[H_threshold_out]]/1000000</f>
        <v>3.3000000000000002E-2</v>
      </c>
      <c r="Z10">
        <f>(widthRefDoor-2*doors[[#This Row],[H_frame_out]])*doors[[#This Row],[H_betweenThresholdSash_out]]/1000000</f>
        <v>1.9359999999999999E-2</v>
      </c>
      <c r="AA10">
        <f>(widthRefDoor-2*doors[[#This Row],[H_frame_out]]-2*doors[[#This Row],[H_sash_out]])/1000</f>
        <v>0.84</v>
      </c>
      <c r="AB10">
        <f>(heightRefDoor-800-doors[[#This Row],[H_mullion_out]]/2-doors[[#This Row],[H_frame_out]]-doors[[#This Row],[H_sash_out]])/1000</f>
        <v>1.21</v>
      </c>
      <c r="AC10">
        <f>(widthRefDoor-2*doors[[#This Row],[H_frame_out]]-2*doors[[#This Row],[H_sash_out]])/1000</f>
        <v>0.84</v>
      </c>
      <c r="AD10">
        <f>(800-doors[[#This Row],[H_mullion_out]]/2-doors[[#This Row],[H_threshold_out]]-doors[[#This Row],[H_betweenThresholdSash_out]]-doors[[#This Row],[H_sash_out]])/1000</f>
        <v>0.64600000000000002</v>
      </c>
      <c r="AE10" s="36">
        <f>doors[[#This Row],[A_frame_left]]+doors[[#This Row],[A_sash_left]]+doors[[#This Row],[A_frame_right]]+doors[[#This Row],[A_sash_right]]+doors[[#This Row],[A_frame_top]]+doors[[#This Row],[A_sash_top]]</f>
        <v>0.66550399999999998</v>
      </c>
      <c r="AF10" s="36">
        <f>doors[[#This Row],[A_threshold]]+doors[[#This Row],[A_betweenThresholdSash]]+doors[[#This Row],[A_sash_bottom]]</f>
        <v>0.11021600000000001</v>
      </c>
      <c r="AG10" s="36">
        <f>doors[[#This Row],[Width_glass_top]]*doors[[#This Row],[Height_glass_top]]+doors[[#This Row],[Width_glass_bottom]]*doors[[#This Row],[Height_glass_bottom]]</f>
        <v>1.55904</v>
      </c>
      <c r="AH10" s="36">
        <f>(doors[[#This Row],[Width_glass_top]]+doors[[#This Row],[Height_glass_top]])*2+(doors[[#This Row],[Width_glass_bottom]]+doors[[#This Row],[Height_glass_bottom]])*2</f>
        <v>7.0719999999999992</v>
      </c>
    </row>
    <row r="11" spans="1:34" x14ac:dyDescent="0.25">
      <c r="A11" s="31" t="s">
        <v>163</v>
      </c>
      <c r="E11" t="s">
        <v>185</v>
      </c>
      <c r="G11" t="s">
        <v>183</v>
      </c>
      <c r="H11">
        <v>66</v>
      </c>
      <c r="I11">
        <v>76</v>
      </c>
      <c r="J11">
        <v>80</v>
      </c>
      <c r="K11">
        <v>30</v>
      </c>
      <c r="L11">
        <v>20</v>
      </c>
      <c r="M11">
        <v>1.7</v>
      </c>
      <c r="N11">
        <v>1.4</v>
      </c>
      <c r="O11">
        <v>2.9</v>
      </c>
      <c r="P11">
        <f>((2*heightRefDoor-doors[[#This Row],[H_frame_out]])*doors[[#This Row],[H_frame_out]]/2)/1000000</f>
        <v>0.14170199999999999</v>
      </c>
      <c r="Q11">
        <f>((2*heightRefDoor-doors[[#This Row],[H_frame_out]])*doors[[#This Row],[H_frame_out]]/2)/1000000</f>
        <v>0.14170199999999999</v>
      </c>
      <c r="R11">
        <f>(widthRefDoor-doors[[#This Row],[H_frame_out]])*doors[[#This Row],[H_frame_out]]/1000000</f>
        <v>6.8243999999999999E-2</v>
      </c>
      <c r="S11">
        <v>0</v>
      </c>
      <c r="T11">
        <f>(heightRefDoor-doors[[#This Row],[H_frame_out]]-doors[[#This Row],[H_threshold_out]]-doors[[#This Row],[H_betweenThresholdSash_out]]-doors[[#This Row],[H_sash_out]])*doors[[#This Row],[H_sash_out]]/1000000</f>
        <v>0.151088</v>
      </c>
      <c r="U11">
        <f>(heightRefDoor-doors[[#This Row],[H_frame_out]]-doors[[#This Row],[H_threshold_out]]-doors[[#This Row],[H_betweenThresholdSash_out]]-doors[[#This Row],[H_sash_out]])*doors[[#This Row],[H_sash_out]]/1000000</f>
        <v>0.151088</v>
      </c>
      <c r="V11">
        <f>(widthRefDoor-2*doors[[#This Row],[H_frame_out]]-doors[[#This Row],[H_sash_out]])*doors[[#This Row],[H_sash_out]]/1000000</f>
        <v>6.7792000000000005E-2</v>
      </c>
      <c r="W11">
        <f>(widthRefDoor-2*doors[[#This Row],[H_frame_out]]-doors[[#This Row],[H_sash_out]])*doors[[#This Row],[H_sash_out]]/1000000</f>
        <v>6.7792000000000005E-2</v>
      </c>
      <c r="X11">
        <f>(widthRefDoor-2*doors[[#This Row],[H_frame_out]]-2*doors[[#This Row],[H_sash_out]])*doors[[#This Row],[H_mullion_out]]/1000000</f>
        <v>6.5280000000000005E-2</v>
      </c>
      <c r="Y11">
        <f>widthRefDoor*doors[[#This Row],[H_threshold_out]]/1000000</f>
        <v>3.3000000000000002E-2</v>
      </c>
      <c r="Z11">
        <f>(widthRefDoor-2*doors[[#This Row],[H_frame_out]])*doors[[#This Row],[H_betweenThresholdSash_out]]/1000000</f>
        <v>1.9359999999999999E-2</v>
      </c>
      <c r="AA11">
        <f>(widthRefDoor-2*doors[[#This Row],[H_frame_out]]-2*doors[[#This Row],[H_sash_out]])/1000</f>
        <v>0.81599999999999995</v>
      </c>
      <c r="AB11">
        <f>(heightRefDoor-800-doors[[#This Row],[H_mullion_out]]/2-doors[[#This Row],[H_frame_out]]-doors[[#This Row],[H_sash_out]])/1000</f>
        <v>1.198</v>
      </c>
      <c r="AC11" s="36">
        <f>(widthRefDoor-2*doors[[#This Row],[H_frame_out]]-2*doors[[#This Row],[H_sash_out]])/1000</f>
        <v>0.81599999999999995</v>
      </c>
      <c r="AD11" s="36">
        <f>(800-doors[[#This Row],[H_mullion_out]]/2-doors[[#This Row],[H_threshold_out]]-doors[[#This Row],[H_betweenThresholdSash_out]]-doors[[#This Row],[H_sash_out]])/1000</f>
        <v>0.63400000000000001</v>
      </c>
      <c r="AE11" s="36">
        <f>doors[[#This Row],[A_frame_left]]+doors[[#This Row],[A_sash_left]]+doors[[#This Row],[A_frame_right]]+doors[[#This Row],[A_sash_right]]+doors[[#This Row],[A_frame_top]]+doors[[#This Row],[A_sash_top]]</f>
        <v>0.72161599999999992</v>
      </c>
      <c r="AF11" s="36">
        <f>doors[[#This Row],[A_threshold]]+doors[[#This Row],[A_betweenThresholdSash]]+doors[[#This Row],[A_sash_bottom]]</f>
        <v>0.12015200000000001</v>
      </c>
      <c r="AG11" s="36">
        <f>doors[[#This Row],[Width_glass_top]]*doors[[#This Row],[Height_glass_top]]+doors[[#This Row],[Width_glass_bottom]]*doors[[#This Row],[Height_glass_bottom]]</f>
        <v>1.4949119999999998</v>
      </c>
      <c r="AH11" s="36">
        <f>(doors[[#This Row],[Width_glass_top]]+doors[[#This Row],[Height_glass_top]])*2+(doors[[#This Row],[Width_glass_bottom]]+doors[[#This Row],[Height_glass_bottom]])*2</f>
        <v>6.927999999999999</v>
      </c>
    </row>
    <row r="12" spans="1:34" x14ac:dyDescent="0.25">
      <c r="A12" s="31" t="s">
        <v>164</v>
      </c>
      <c r="B12" s="9" t="s">
        <v>89</v>
      </c>
      <c r="C12" s="10" t="s">
        <v>2</v>
      </c>
      <c r="E12" t="s">
        <v>203</v>
      </c>
      <c r="G12" t="s">
        <v>184</v>
      </c>
      <c r="H12">
        <v>66</v>
      </c>
      <c r="I12">
        <v>88</v>
      </c>
      <c r="J12">
        <v>80</v>
      </c>
      <c r="K12">
        <v>30</v>
      </c>
      <c r="L12">
        <v>20</v>
      </c>
      <c r="M12">
        <v>1.8</v>
      </c>
      <c r="N12">
        <v>1.4</v>
      </c>
      <c r="O12">
        <v>2.9</v>
      </c>
      <c r="P12">
        <f>((2*heightRefDoor-doors[[#This Row],[H_frame_out]])*doors[[#This Row],[H_frame_out]]/2)/1000000</f>
        <v>0.14170199999999999</v>
      </c>
      <c r="Q12">
        <f>((2*heightRefDoor-doors[[#This Row],[H_frame_out]])*doors[[#This Row],[H_frame_out]]/2)/1000000</f>
        <v>0.14170199999999999</v>
      </c>
      <c r="R12">
        <f>(widthRefDoor-doors[[#This Row],[H_frame_out]])*doors[[#This Row],[H_frame_out]]/1000000</f>
        <v>6.8243999999999999E-2</v>
      </c>
      <c r="S12">
        <v>0</v>
      </c>
      <c r="T12">
        <f>(heightRefDoor-doors[[#This Row],[H_frame_out]]-doors[[#This Row],[H_threshold_out]]-doors[[#This Row],[H_betweenThresholdSash_out]]-doors[[#This Row],[H_sash_out]])*doors[[#This Row],[H_sash_out]]/1000000</f>
        <v>0.17388799999999999</v>
      </c>
      <c r="U12">
        <f>(heightRefDoor-doors[[#This Row],[H_frame_out]]-doors[[#This Row],[H_threshold_out]]-doors[[#This Row],[H_betweenThresholdSash_out]]-doors[[#This Row],[H_sash_out]])*doors[[#This Row],[H_sash_out]]/1000000</f>
        <v>0.17388799999999999</v>
      </c>
      <c r="V12">
        <f>(widthRefDoor-2*doors[[#This Row],[H_frame_out]]-doors[[#This Row],[H_sash_out]])*doors[[#This Row],[H_sash_out]]/1000000</f>
        <v>7.7439999999999995E-2</v>
      </c>
      <c r="W12">
        <f>(widthRefDoor-2*doors[[#This Row],[H_frame_out]]-doors[[#This Row],[H_sash_out]])*doors[[#This Row],[H_sash_out]]/1000000</f>
        <v>7.7439999999999995E-2</v>
      </c>
      <c r="X12">
        <f>(widthRefDoor-2*doors[[#This Row],[H_frame_out]]-2*doors[[#This Row],[H_sash_out]])*doors[[#This Row],[H_mullion_out]]/1000000</f>
        <v>6.336E-2</v>
      </c>
      <c r="Y12">
        <f>widthRefDoor*doors[[#This Row],[H_threshold_out]]/1000000</f>
        <v>3.3000000000000002E-2</v>
      </c>
      <c r="Z12">
        <f>(widthRefDoor-2*doors[[#This Row],[H_frame_out]])*doors[[#This Row],[H_betweenThresholdSash_out]]/1000000</f>
        <v>1.9359999999999999E-2</v>
      </c>
      <c r="AA12">
        <f>(widthRefDoor-2*doors[[#This Row],[H_frame_out]]-2*doors[[#This Row],[H_sash_out]])/1000</f>
        <v>0.79200000000000004</v>
      </c>
      <c r="AB12">
        <f>(heightRefDoor-800-doors[[#This Row],[H_mullion_out]]/2-doors[[#This Row],[H_frame_out]]-doors[[#This Row],[H_sash_out]])/1000</f>
        <v>1.1859999999999999</v>
      </c>
      <c r="AC12" s="36">
        <f>(widthRefDoor-2*doors[[#This Row],[H_frame_out]]-2*doors[[#This Row],[H_sash_out]])/1000</f>
        <v>0.79200000000000004</v>
      </c>
      <c r="AD12" s="36">
        <f>(800-doors[[#This Row],[H_mullion_out]]/2-doors[[#This Row],[H_threshold_out]]-doors[[#This Row],[H_betweenThresholdSash_out]]-doors[[#This Row],[H_sash_out]])/1000</f>
        <v>0.622</v>
      </c>
      <c r="AE12" s="36">
        <f>doors[[#This Row],[A_frame_left]]+doors[[#This Row],[A_sash_left]]+doors[[#This Row],[A_frame_right]]+doors[[#This Row],[A_sash_right]]+doors[[#This Row],[A_frame_top]]+doors[[#This Row],[A_sash_top]]</f>
        <v>0.77686399999999989</v>
      </c>
      <c r="AF12" s="36">
        <f>doors[[#This Row],[A_threshold]]+doors[[#This Row],[A_betweenThresholdSash]]+doors[[#This Row],[A_sash_bottom]]</f>
        <v>0.1298</v>
      </c>
      <c r="AG12" s="36">
        <f>doors[[#This Row],[Width_glass_top]]*doors[[#This Row],[Height_glass_top]]+doors[[#This Row],[Width_glass_bottom]]*doors[[#This Row],[Height_glass_bottom]]</f>
        <v>1.4319360000000001</v>
      </c>
      <c r="AH12" s="36">
        <f>(doors[[#This Row],[Width_glass_top]]+doors[[#This Row],[Height_glass_top]])*2+(doors[[#This Row],[Width_glass_bottom]]+doors[[#This Row],[Height_glass_bottom]])*2</f>
        <v>6.7840000000000007</v>
      </c>
    </row>
    <row r="13" spans="1:34" x14ac:dyDescent="0.25">
      <c r="A13" s="31" t="s">
        <v>157</v>
      </c>
      <c r="B13" s="8">
        <v>27</v>
      </c>
      <c r="C13" s="10">
        <v>30</v>
      </c>
      <c r="E13" t="s">
        <v>187</v>
      </c>
      <c r="G13" t="s">
        <v>185</v>
      </c>
      <c r="H13">
        <v>66</v>
      </c>
      <c r="I13">
        <v>76</v>
      </c>
      <c r="J13">
        <v>80</v>
      </c>
      <c r="K13">
        <v>30</v>
      </c>
      <c r="L13">
        <v>20</v>
      </c>
      <c r="M13">
        <v>1.6</v>
      </c>
      <c r="N13">
        <v>1.4</v>
      </c>
      <c r="O13">
        <v>2.5</v>
      </c>
      <c r="P13">
        <f>((2*heightRefDoor-doors[[#This Row],[H_frame_out]])*doors[[#This Row],[H_frame_out]]/2)/1000000</f>
        <v>0.14170199999999999</v>
      </c>
      <c r="Q13">
        <f>((2*heightRefDoor-doors[[#This Row],[H_frame_out]])*doors[[#This Row],[H_frame_out]]/2)/1000000</f>
        <v>0.14170199999999999</v>
      </c>
      <c r="R13">
        <f>(widthRefDoor-doors[[#This Row],[H_frame_out]])*doors[[#This Row],[H_frame_out]]/1000000</f>
        <v>6.8243999999999999E-2</v>
      </c>
      <c r="S13">
        <v>0</v>
      </c>
      <c r="T13">
        <f>(heightRefDoor-doors[[#This Row],[H_frame_out]]-doors[[#This Row],[H_threshold_out]]-doors[[#This Row],[H_betweenThresholdSash_out]]-doors[[#This Row],[H_sash_out]])*doors[[#This Row],[H_sash_out]]/1000000</f>
        <v>0.151088</v>
      </c>
      <c r="U13">
        <f>(heightRefDoor-doors[[#This Row],[H_frame_out]]-doors[[#This Row],[H_threshold_out]]-doors[[#This Row],[H_betweenThresholdSash_out]]-doors[[#This Row],[H_sash_out]])*doors[[#This Row],[H_sash_out]]/1000000</f>
        <v>0.151088</v>
      </c>
      <c r="V13">
        <f>(widthRefDoor-2*doors[[#This Row],[H_frame_out]]-doors[[#This Row],[H_sash_out]])*doors[[#This Row],[H_sash_out]]/1000000</f>
        <v>6.7792000000000005E-2</v>
      </c>
      <c r="W13">
        <f>(widthRefDoor-2*doors[[#This Row],[H_frame_out]]-doors[[#This Row],[H_sash_out]])*doors[[#This Row],[H_sash_out]]/1000000</f>
        <v>6.7792000000000005E-2</v>
      </c>
      <c r="X13">
        <f>(widthRefDoor-2*doors[[#This Row],[H_frame_out]]-2*doors[[#This Row],[H_sash_out]])*doors[[#This Row],[H_mullion_out]]/1000000</f>
        <v>6.5280000000000005E-2</v>
      </c>
      <c r="Y13">
        <f>widthRefDoor*doors[[#This Row],[H_threshold_out]]/1000000</f>
        <v>3.3000000000000002E-2</v>
      </c>
      <c r="Z13">
        <f>(widthRefDoor-2*doors[[#This Row],[H_frame_out]])*doors[[#This Row],[H_betweenThresholdSash_out]]/1000000</f>
        <v>1.9359999999999999E-2</v>
      </c>
      <c r="AA13">
        <f>(widthRefDoor-2*doors[[#This Row],[H_frame_out]]-2*doors[[#This Row],[H_sash_out]])/1000</f>
        <v>0.81599999999999995</v>
      </c>
      <c r="AB13">
        <f>(heightRefDoor-800-doors[[#This Row],[H_mullion_out]]/2-doors[[#This Row],[H_frame_out]]-doors[[#This Row],[H_sash_out]])/1000</f>
        <v>1.198</v>
      </c>
      <c r="AC13" s="36">
        <f>(widthRefDoor-2*doors[[#This Row],[H_frame_out]]-2*doors[[#This Row],[H_sash_out]])/1000</f>
        <v>0.81599999999999995</v>
      </c>
      <c r="AD13" s="36">
        <f>(800-doors[[#This Row],[H_mullion_out]]/2-doors[[#This Row],[H_threshold_out]]-doors[[#This Row],[H_betweenThresholdSash_out]]-doors[[#This Row],[H_sash_out]])/1000</f>
        <v>0.63400000000000001</v>
      </c>
      <c r="AE13" s="36">
        <f>doors[[#This Row],[A_frame_left]]+doors[[#This Row],[A_sash_left]]+doors[[#This Row],[A_frame_right]]+doors[[#This Row],[A_sash_right]]+doors[[#This Row],[A_frame_top]]+doors[[#This Row],[A_sash_top]]</f>
        <v>0.72161599999999992</v>
      </c>
      <c r="AF13" s="36">
        <f>doors[[#This Row],[A_threshold]]+doors[[#This Row],[A_betweenThresholdSash]]+doors[[#This Row],[A_sash_bottom]]</f>
        <v>0.12015200000000001</v>
      </c>
      <c r="AG13" s="36">
        <f>doors[[#This Row],[Width_glass_top]]*doors[[#This Row],[Height_glass_top]]+doors[[#This Row],[Width_glass_bottom]]*doors[[#This Row],[Height_glass_bottom]]</f>
        <v>1.4949119999999998</v>
      </c>
      <c r="AH13" s="36">
        <f>(doors[[#This Row],[Width_glass_top]]+doors[[#This Row],[Height_glass_top]])*2+(doors[[#This Row],[Width_glass_bottom]]+doors[[#This Row],[Height_glass_bottom]])*2</f>
        <v>6.927999999999999</v>
      </c>
    </row>
    <row r="14" spans="1:34" x14ac:dyDescent="0.25">
      <c r="A14" s="31" t="s">
        <v>165</v>
      </c>
      <c r="B14" s="8">
        <v>28</v>
      </c>
      <c r="C14" s="10">
        <v>31</v>
      </c>
      <c r="E14" t="s">
        <v>186</v>
      </c>
      <c r="G14" t="s">
        <v>203</v>
      </c>
      <c r="H14">
        <v>61</v>
      </c>
      <c r="I14">
        <v>50</v>
      </c>
      <c r="J14">
        <v>80</v>
      </c>
      <c r="K14">
        <v>30</v>
      </c>
      <c r="L14">
        <v>20</v>
      </c>
      <c r="M14">
        <v>1.6</v>
      </c>
      <c r="N14">
        <v>1.4</v>
      </c>
      <c r="O14">
        <v>2.5</v>
      </c>
      <c r="P14">
        <f>((2*heightRefDoor-doors[[#This Row],[H_frame_out]])*doors[[#This Row],[H_frame_out]]/2)/1000000</f>
        <v>0.1311195</v>
      </c>
      <c r="Q14">
        <f>((2*heightRefDoor-doors[[#This Row],[H_frame_out]])*doors[[#This Row],[H_frame_out]]/2)/1000000</f>
        <v>0.1311195</v>
      </c>
      <c r="R14">
        <f>(widthRefDoor-doors[[#This Row],[H_frame_out]])*doors[[#This Row],[H_frame_out]]/1000000</f>
        <v>6.3379000000000005E-2</v>
      </c>
      <c r="S14">
        <v>0</v>
      </c>
      <c r="T14">
        <f>(heightRefDoor-doors[[#This Row],[H_frame_out]]-doors[[#This Row],[H_threshold_out]]-doors[[#This Row],[H_betweenThresholdSash_out]]-doors[[#This Row],[H_sash_out]])*doors[[#This Row],[H_sash_out]]/1000000</f>
        <v>0.10095</v>
      </c>
      <c r="U14">
        <f>(heightRefDoor-doors[[#This Row],[H_frame_out]]-doors[[#This Row],[H_threshold_out]]-doors[[#This Row],[H_betweenThresholdSash_out]]-doors[[#This Row],[H_sash_out]])*doors[[#This Row],[H_sash_out]]/1000000</f>
        <v>0.10095</v>
      </c>
      <c r="V14">
        <f>(widthRefDoor-2*doors[[#This Row],[H_frame_out]]-doors[[#This Row],[H_sash_out]])*doors[[#This Row],[H_sash_out]]/1000000</f>
        <v>4.6399999999999997E-2</v>
      </c>
      <c r="W14">
        <f>(widthRefDoor-2*doors[[#This Row],[H_frame_out]]-doors[[#This Row],[H_sash_out]])*doors[[#This Row],[H_sash_out]]/1000000</f>
        <v>4.6399999999999997E-2</v>
      </c>
      <c r="X14">
        <f>(widthRefDoor-2*doors[[#This Row],[H_frame_out]]-2*doors[[#This Row],[H_sash_out]])*doors[[#This Row],[H_mullion_out]]/1000000</f>
        <v>7.0239999999999997E-2</v>
      </c>
      <c r="Y14">
        <f>widthRefDoor*doors[[#This Row],[H_threshold_out]]/1000000</f>
        <v>3.3000000000000002E-2</v>
      </c>
      <c r="Z14">
        <f>(widthRefDoor-2*doors[[#This Row],[H_frame_out]])*doors[[#This Row],[H_betweenThresholdSash_out]]/1000000</f>
        <v>1.9560000000000001E-2</v>
      </c>
      <c r="AA14">
        <f>(widthRefDoor-2*doors[[#This Row],[H_frame_out]]-2*doors[[#This Row],[H_sash_out]])/1000</f>
        <v>0.878</v>
      </c>
      <c r="AB14">
        <f>(heightRefDoor-800-doors[[#This Row],[H_mullion_out]]/2-doors[[#This Row],[H_frame_out]]-doors[[#This Row],[H_sash_out]])/1000</f>
        <v>1.2290000000000001</v>
      </c>
      <c r="AC14" s="36">
        <f>(widthRefDoor-2*doors[[#This Row],[H_frame_out]]-2*doors[[#This Row],[H_sash_out]])/1000</f>
        <v>0.878</v>
      </c>
      <c r="AD14" s="36">
        <f>(800-doors[[#This Row],[H_mullion_out]]/2-doors[[#This Row],[H_threshold_out]]-doors[[#This Row],[H_betweenThresholdSash_out]]-doors[[#This Row],[H_sash_out]])/1000</f>
        <v>0.66</v>
      </c>
      <c r="AE14" s="36">
        <f>doors[[#This Row],[A_frame_left]]+doors[[#This Row],[A_sash_left]]+doors[[#This Row],[A_frame_right]]+doors[[#This Row],[A_sash_right]]+doors[[#This Row],[A_frame_top]]+doors[[#This Row],[A_sash_top]]</f>
        <v>0.57391799999999993</v>
      </c>
      <c r="AF14" s="36">
        <f>doors[[#This Row],[A_threshold]]+doors[[#This Row],[A_betweenThresholdSash]]+doors[[#This Row],[A_sash_bottom]]</f>
        <v>9.8959999999999992E-2</v>
      </c>
      <c r="AG14" s="36">
        <f>doors[[#This Row],[Width_glass_top]]*doors[[#This Row],[Height_glass_top]]+doors[[#This Row],[Width_glass_bottom]]*doors[[#This Row],[Height_glass_bottom]]</f>
        <v>1.6585420000000002</v>
      </c>
      <c r="AH14" s="36">
        <f>(doors[[#This Row],[Width_glass_top]]+doors[[#This Row],[Height_glass_top]])*2+(doors[[#This Row],[Width_glass_bottom]]+doors[[#This Row],[Height_glass_bottom]])*2</f>
        <v>7.2900000000000009</v>
      </c>
    </row>
    <row r="15" spans="1:34" x14ac:dyDescent="0.25">
      <c r="A15" s="31" t="s">
        <v>166</v>
      </c>
      <c r="B15" s="8">
        <v>29</v>
      </c>
      <c r="C15" s="10">
        <v>32</v>
      </c>
      <c r="E15" t="s">
        <v>202</v>
      </c>
      <c r="G15" t="s">
        <v>187</v>
      </c>
      <c r="H15">
        <v>77</v>
      </c>
      <c r="I15">
        <v>88</v>
      </c>
      <c r="J15">
        <v>80</v>
      </c>
      <c r="K15">
        <v>21.5</v>
      </c>
      <c r="L15">
        <v>20</v>
      </c>
      <c r="M15">
        <v>1.5</v>
      </c>
      <c r="N15">
        <v>1.3</v>
      </c>
      <c r="O15">
        <v>2.8</v>
      </c>
      <c r="P15">
        <f>((2*heightRefDoor-doors[[#This Row],[H_frame_out]])*doors[[#This Row],[H_frame_out]]/2)/1000000</f>
        <v>0.1648955</v>
      </c>
      <c r="Q15">
        <f>((2*heightRefDoor-doors[[#This Row],[H_frame_out]])*doors[[#This Row],[H_frame_out]]/2)/1000000</f>
        <v>0.1648955</v>
      </c>
      <c r="R15">
        <f>(widthRefDoor-doors[[#This Row],[H_frame_out]])*doors[[#This Row],[H_frame_out]]/1000000</f>
        <v>7.8770999999999994E-2</v>
      </c>
      <c r="S15">
        <v>0</v>
      </c>
      <c r="T15">
        <f>(heightRefDoor-doors[[#This Row],[H_frame_out]]-doors[[#This Row],[H_threshold_out]]-doors[[#This Row],[H_betweenThresholdSash_out]]-doors[[#This Row],[H_sash_out]])*doors[[#This Row],[H_sash_out]]/1000000</f>
        <v>0.17366799999999999</v>
      </c>
      <c r="U15">
        <f>(heightRefDoor-doors[[#This Row],[H_frame_out]]-doors[[#This Row],[H_threshold_out]]-doors[[#This Row],[H_betweenThresholdSash_out]]-doors[[#This Row],[H_sash_out]])*doors[[#This Row],[H_sash_out]]/1000000</f>
        <v>0.17366799999999999</v>
      </c>
      <c r="V15">
        <f>(widthRefDoor-2*doors[[#This Row],[H_frame_out]]-doors[[#This Row],[H_sash_out]])*doors[[#This Row],[H_sash_out]]/1000000</f>
        <v>7.5504000000000002E-2</v>
      </c>
      <c r="W15">
        <f>(widthRefDoor-2*doors[[#This Row],[H_frame_out]]-doors[[#This Row],[H_sash_out]])*doors[[#This Row],[H_sash_out]]/1000000</f>
        <v>7.5504000000000002E-2</v>
      </c>
      <c r="X15">
        <f>(widthRefDoor-2*doors[[#This Row],[H_frame_out]]-2*doors[[#This Row],[H_sash_out]])*doors[[#This Row],[H_mullion_out]]/1000000</f>
        <v>6.1600000000000002E-2</v>
      </c>
      <c r="Y15">
        <f>widthRefDoor*doors[[#This Row],[H_threshold_out]]/1000000</f>
        <v>2.3650000000000001E-2</v>
      </c>
      <c r="Z15">
        <f>(widthRefDoor-2*doors[[#This Row],[H_frame_out]])*doors[[#This Row],[H_betweenThresholdSash_out]]/1000000</f>
        <v>1.8919999999999999E-2</v>
      </c>
      <c r="AA15">
        <f>(widthRefDoor-2*doors[[#This Row],[H_frame_out]]-2*doors[[#This Row],[H_sash_out]])/1000</f>
        <v>0.77</v>
      </c>
      <c r="AB15">
        <f>(heightRefDoor-800-doors[[#This Row],[H_mullion_out]]/2-doors[[#This Row],[H_frame_out]]-doors[[#This Row],[H_sash_out]])/1000</f>
        <v>1.175</v>
      </c>
      <c r="AC15" s="36">
        <f>(widthRefDoor-2*doors[[#This Row],[H_frame_out]]-2*doors[[#This Row],[H_sash_out]])/1000</f>
        <v>0.77</v>
      </c>
      <c r="AD15" s="36">
        <f>(800-doors[[#This Row],[H_mullion_out]]/2-doors[[#This Row],[H_threshold_out]]-doors[[#This Row],[H_betweenThresholdSash_out]]-doors[[#This Row],[H_sash_out]])/1000</f>
        <v>0.63049999999999995</v>
      </c>
      <c r="AE15" s="36">
        <f>doors[[#This Row],[A_frame_left]]+doors[[#This Row],[A_sash_left]]+doors[[#This Row],[A_frame_right]]+doors[[#This Row],[A_sash_right]]+doors[[#This Row],[A_frame_top]]+doors[[#This Row],[A_sash_top]]</f>
        <v>0.83140200000000009</v>
      </c>
      <c r="AF15" s="36">
        <f>doors[[#This Row],[A_threshold]]+doors[[#This Row],[A_betweenThresholdSash]]+doors[[#This Row],[A_sash_bottom]]</f>
        <v>0.118074</v>
      </c>
      <c r="AG15" s="36">
        <f>doors[[#This Row],[Width_glass_top]]*doors[[#This Row],[Height_glass_top]]+doors[[#This Row],[Width_glass_bottom]]*doors[[#This Row],[Height_glass_bottom]]</f>
        <v>1.3902350000000001</v>
      </c>
      <c r="AH15" s="36">
        <f>(doors[[#This Row],[Width_glass_top]]+doors[[#This Row],[Height_glass_top]])*2+(doors[[#This Row],[Width_glass_bottom]]+doors[[#This Row],[Height_glass_bottom]])*2</f>
        <v>6.6910000000000007</v>
      </c>
    </row>
    <row r="16" spans="1:34" x14ac:dyDescent="0.25">
      <c r="B16" s="8">
        <v>30</v>
      </c>
      <c r="C16" s="10">
        <v>33</v>
      </c>
      <c r="E16" t="s">
        <v>188</v>
      </c>
      <c r="G16" t="s">
        <v>186</v>
      </c>
      <c r="H16">
        <v>77</v>
      </c>
      <c r="I16">
        <v>76</v>
      </c>
      <c r="J16">
        <v>80</v>
      </c>
      <c r="K16">
        <v>21.5</v>
      </c>
      <c r="L16">
        <v>20</v>
      </c>
      <c r="M16">
        <v>1.4</v>
      </c>
      <c r="N16">
        <v>1.3</v>
      </c>
      <c r="O16">
        <v>2.4</v>
      </c>
      <c r="P16">
        <f>((2*heightRefDoor-doors[[#This Row],[H_frame_out]])*doors[[#This Row],[H_frame_out]]/2)/1000000</f>
        <v>0.1648955</v>
      </c>
      <c r="Q16">
        <f>((2*heightRefDoor-doors[[#This Row],[H_frame_out]])*doors[[#This Row],[H_frame_out]]/2)/1000000</f>
        <v>0.1648955</v>
      </c>
      <c r="R16">
        <f>(widthRefDoor-doors[[#This Row],[H_frame_out]])*doors[[#This Row],[H_frame_out]]/1000000</f>
        <v>7.8770999999999994E-2</v>
      </c>
      <c r="S16">
        <v>0</v>
      </c>
      <c r="T16">
        <f>(heightRefDoor-doors[[#This Row],[H_frame_out]]-doors[[#This Row],[H_threshold_out]]-doors[[#This Row],[H_betweenThresholdSash_out]]-doors[[#This Row],[H_sash_out]])*doors[[#This Row],[H_sash_out]]/1000000</f>
        <v>0.150898</v>
      </c>
      <c r="U16">
        <f>(heightRefDoor-doors[[#This Row],[H_frame_out]]-doors[[#This Row],[H_threshold_out]]-doors[[#This Row],[H_betweenThresholdSash_out]]-doors[[#This Row],[H_sash_out]])*doors[[#This Row],[H_sash_out]]/1000000</f>
        <v>0.150898</v>
      </c>
      <c r="V16">
        <f>(widthRefDoor-2*doors[[#This Row],[H_frame_out]]-doors[[#This Row],[H_sash_out]])*doors[[#This Row],[H_sash_out]]/1000000</f>
        <v>6.6119999999999998E-2</v>
      </c>
      <c r="W16">
        <f>(widthRefDoor-2*doors[[#This Row],[H_frame_out]]-doors[[#This Row],[H_sash_out]])*doors[[#This Row],[H_sash_out]]/1000000</f>
        <v>6.6119999999999998E-2</v>
      </c>
      <c r="X16">
        <f>(widthRefDoor-2*doors[[#This Row],[H_frame_out]]-2*doors[[#This Row],[H_sash_out]])*doors[[#This Row],[H_mullion_out]]/1000000</f>
        <v>6.3519999999999993E-2</v>
      </c>
      <c r="Y16">
        <f>widthRefDoor*doors[[#This Row],[H_threshold_out]]/1000000</f>
        <v>2.3650000000000001E-2</v>
      </c>
      <c r="Z16">
        <f>(widthRefDoor-2*doors[[#This Row],[H_frame_out]])*doors[[#This Row],[H_betweenThresholdSash_out]]/1000000</f>
        <v>1.8919999999999999E-2</v>
      </c>
      <c r="AA16">
        <f>(widthRefDoor-2*doors[[#This Row],[H_frame_out]]-2*doors[[#This Row],[H_sash_out]])/1000</f>
        <v>0.79400000000000004</v>
      </c>
      <c r="AB16">
        <f>(heightRefDoor-800-doors[[#This Row],[H_mullion_out]]/2-doors[[#This Row],[H_frame_out]]-doors[[#This Row],[H_sash_out]])/1000</f>
        <v>1.1870000000000001</v>
      </c>
      <c r="AC16" s="36">
        <f>(widthRefDoor-2*doors[[#This Row],[H_frame_out]]-2*doors[[#This Row],[H_sash_out]])/1000</f>
        <v>0.79400000000000004</v>
      </c>
      <c r="AD16" s="36">
        <f>(800-doors[[#This Row],[H_mullion_out]]/2-doors[[#This Row],[H_threshold_out]]-doors[[#This Row],[H_betweenThresholdSash_out]]-doors[[#This Row],[H_sash_out]])/1000</f>
        <v>0.64249999999999996</v>
      </c>
      <c r="AE16" s="36">
        <f>doors[[#This Row],[A_frame_left]]+doors[[#This Row],[A_sash_left]]+doors[[#This Row],[A_frame_right]]+doors[[#This Row],[A_sash_right]]+doors[[#This Row],[A_frame_top]]+doors[[#This Row],[A_sash_top]]</f>
        <v>0.776478</v>
      </c>
      <c r="AF16" s="36">
        <f>doors[[#This Row],[A_threshold]]+doors[[#This Row],[A_betweenThresholdSash]]+doors[[#This Row],[A_sash_bottom]]</f>
        <v>0.10868999999999999</v>
      </c>
      <c r="AG16" s="36">
        <f>doors[[#This Row],[Width_glass_top]]*doors[[#This Row],[Height_glass_top]]+doors[[#This Row],[Width_glass_bottom]]*doors[[#This Row],[Height_glass_bottom]]</f>
        <v>1.452623</v>
      </c>
      <c r="AH16" s="36">
        <f>(doors[[#This Row],[Width_glass_top]]+doors[[#This Row],[Height_glass_top]])*2+(doors[[#This Row],[Width_glass_bottom]]+doors[[#This Row],[Height_glass_bottom]])*2</f>
        <v>6.8350000000000009</v>
      </c>
    </row>
    <row r="17" spans="1:34" x14ac:dyDescent="0.25">
      <c r="A17" s="27"/>
      <c r="B17" s="8">
        <v>31</v>
      </c>
      <c r="C17" s="10">
        <v>33</v>
      </c>
      <c r="E17" t="s">
        <v>189</v>
      </c>
      <c r="G17" t="s">
        <v>202</v>
      </c>
      <c r="H17">
        <v>61</v>
      </c>
      <c r="I17">
        <v>50</v>
      </c>
      <c r="J17">
        <v>80</v>
      </c>
      <c r="K17">
        <v>21.5</v>
      </c>
      <c r="L17">
        <v>20</v>
      </c>
      <c r="M17">
        <v>1.4</v>
      </c>
      <c r="N17">
        <v>1.3</v>
      </c>
      <c r="O17">
        <v>2.4</v>
      </c>
      <c r="P17">
        <f>((2*heightRefDoor-doors[[#This Row],[H_frame_out]])*doors[[#This Row],[H_frame_out]]/2)/1000000</f>
        <v>0.1311195</v>
      </c>
      <c r="Q17">
        <f>((2*heightRefDoor-doors[[#This Row],[H_frame_out]])*doors[[#This Row],[H_frame_out]]/2)/1000000</f>
        <v>0.1311195</v>
      </c>
      <c r="R17">
        <f>(widthRefDoor-doors[[#This Row],[H_frame_out]])*doors[[#This Row],[H_frame_out]]/1000000</f>
        <v>6.3379000000000005E-2</v>
      </c>
      <c r="S17">
        <v>0</v>
      </c>
      <c r="T17">
        <f>(heightRefDoor-doors[[#This Row],[H_frame_out]]-doors[[#This Row],[H_threshold_out]]-doors[[#This Row],[H_betweenThresholdSash_out]]-doors[[#This Row],[H_sash_out]])*doors[[#This Row],[H_sash_out]]/1000000</f>
        <v>0.10137500000000001</v>
      </c>
      <c r="U17">
        <f>(heightRefDoor-doors[[#This Row],[H_frame_out]]-doors[[#This Row],[H_threshold_out]]-doors[[#This Row],[H_betweenThresholdSash_out]]-doors[[#This Row],[H_sash_out]])*doors[[#This Row],[H_sash_out]]/1000000</f>
        <v>0.10137500000000001</v>
      </c>
      <c r="V17">
        <f>(widthRefDoor-2*doors[[#This Row],[H_frame_out]]-doors[[#This Row],[H_sash_out]])*doors[[#This Row],[H_sash_out]]/1000000</f>
        <v>4.6399999999999997E-2</v>
      </c>
      <c r="W17">
        <f>(widthRefDoor-2*doors[[#This Row],[H_frame_out]]-doors[[#This Row],[H_sash_out]])*doors[[#This Row],[H_sash_out]]/1000000</f>
        <v>4.6399999999999997E-2</v>
      </c>
      <c r="X17">
        <f>(widthRefDoor-2*doors[[#This Row],[H_frame_out]]-2*doors[[#This Row],[H_sash_out]])*doors[[#This Row],[H_mullion_out]]/1000000</f>
        <v>7.0239999999999997E-2</v>
      </c>
      <c r="Y17">
        <f>widthRefDoor*doors[[#This Row],[H_threshold_out]]/1000000</f>
        <v>2.3650000000000001E-2</v>
      </c>
      <c r="Z17">
        <f>(widthRefDoor-2*doors[[#This Row],[H_frame_out]])*doors[[#This Row],[H_betweenThresholdSash_out]]/1000000</f>
        <v>1.9560000000000001E-2</v>
      </c>
      <c r="AA17">
        <f>(widthRefDoor-2*doors[[#This Row],[H_frame_out]]-2*doors[[#This Row],[H_sash_out]])/1000</f>
        <v>0.878</v>
      </c>
      <c r="AB17">
        <f>(heightRefDoor-800-doors[[#This Row],[H_mullion_out]]/2-doors[[#This Row],[H_frame_out]]-doors[[#This Row],[H_sash_out]])/1000</f>
        <v>1.2290000000000001</v>
      </c>
      <c r="AC17" s="36">
        <f>(widthRefDoor-2*doors[[#This Row],[H_frame_out]]-2*doors[[#This Row],[H_sash_out]])/1000</f>
        <v>0.878</v>
      </c>
      <c r="AD17" s="36">
        <f>(800-doors[[#This Row],[H_mullion_out]]/2-doors[[#This Row],[H_threshold_out]]-doors[[#This Row],[H_betweenThresholdSash_out]]-doors[[#This Row],[H_sash_out]])/1000</f>
        <v>0.66849999999999998</v>
      </c>
      <c r="AE17" s="36">
        <f>doors[[#This Row],[A_frame_left]]+doors[[#This Row],[A_sash_left]]+doors[[#This Row],[A_frame_right]]+doors[[#This Row],[A_sash_right]]+doors[[#This Row],[A_frame_top]]+doors[[#This Row],[A_sash_top]]</f>
        <v>0.57476799999999995</v>
      </c>
      <c r="AF17" s="36">
        <f>doors[[#This Row],[A_threshold]]+doors[[#This Row],[A_betweenThresholdSash]]+doors[[#This Row],[A_sash_bottom]]</f>
        <v>8.9609999999999995E-2</v>
      </c>
      <c r="AG17" s="36">
        <f>doors[[#This Row],[Width_glass_top]]*doors[[#This Row],[Height_glass_top]]+doors[[#This Row],[Width_glass_bottom]]*doors[[#This Row],[Height_glass_bottom]]</f>
        <v>1.6660050000000002</v>
      </c>
      <c r="AH17" s="36">
        <f>(doors[[#This Row],[Width_glass_top]]+doors[[#This Row],[Height_glass_top]])*2+(doors[[#This Row],[Width_glass_bottom]]+doors[[#This Row],[Height_glass_bottom]])*2</f>
        <v>7.3070000000000004</v>
      </c>
    </row>
    <row r="18" spans="1:34" x14ac:dyDescent="0.25">
      <c r="A18" s="30" t="s">
        <v>170</v>
      </c>
      <c r="B18" s="8">
        <v>32</v>
      </c>
      <c r="C18" s="10">
        <v>34</v>
      </c>
      <c r="E18" t="s">
        <v>190</v>
      </c>
      <c r="G18" t="s">
        <v>188</v>
      </c>
      <c r="H18">
        <v>75</v>
      </c>
      <c r="I18">
        <v>96</v>
      </c>
      <c r="J18">
        <v>80</v>
      </c>
      <c r="K18">
        <v>21.5</v>
      </c>
      <c r="L18">
        <v>18</v>
      </c>
      <c r="M18">
        <v>1.3</v>
      </c>
      <c r="N18">
        <v>1.3</v>
      </c>
      <c r="O18">
        <v>1.9</v>
      </c>
      <c r="P18">
        <f>((2*heightRefDoor-doors[[#This Row],[H_frame_out]])*doors[[#This Row],[H_frame_out]]/2)/1000000</f>
        <v>0.16068750000000001</v>
      </c>
      <c r="Q18">
        <f>((2*heightRefDoor-doors[[#This Row],[H_frame_out]])*doors[[#This Row],[H_frame_out]]/2)/1000000</f>
        <v>0.16068750000000001</v>
      </c>
      <c r="R18">
        <f>(widthRefDoor-doors[[#This Row],[H_frame_out]])*doors[[#This Row],[H_frame_out]]/1000000</f>
        <v>7.6874999999999999E-2</v>
      </c>
      <c r="S18">
        <v>0</v>
      </c>
      <c r="T18">
        <f>(heightRefDoor-doors[[#This Row],[H_frame_out]]-doors[[#This Row],[H_threshold_out]]-doors[[#This Row],[H_betweenThresholdSash_out]]-doors[[#This Row],[H_sash_out]])*doors[[#This Row],[H_sash_out]]/1000000</f>
        <v>0.18907199999999999</v>
      </c>
      <c r="U18">
        <f>(heightRefDoor-doors[[#This Row],[H_frame_out]]-doors[[#This Row],[H_threshold_out]]-doors[[#This Row],[H_betweenThresholdSash_out]]-doors[[#This Row],[H_sash_out]])*doors[[#This Row],[H_sash_out]]/1000000</f>
        <v>0.18907199999999999</v>
      </c>
      <c r="V18">
        <f>(widthRefDoor-2*doors[[#This Row],[H_frame_out]]-doors[[#This Row],[H_sash_out]])*doors[[#This Row],[H_sash_out]]/1000000</f>
        <v>8.1984000000000001E-2</v>
      </c>
      <c r="W18">
        <f>(widthRefDoor-2*doors[[#This Row],[H_frame_out]]-doors[[#This Row],[H_sash_out]])*doors[[#This Row],[H_sash_out]]/1000000</f>
        <v>8.1984000000000001E-2</v>
      </c>
      <c r="X18">
        <f>(widthRefDoor-2*doors[[#This Row],[H_frame_out]]-2*doors[[#This Row],[H_sash_out]])*doors[[#This Row],[H_mullion_out]]/1000000</f>
        <v>6.0639999999999999E-2</v>
      </c>
      <c r="Y18">
        <f>widthRefDoor*doors[[#This Row],[H_threshold_out]]/1000000</f>
        <v>2.3650000000000001E-2</v>
      </c>
      <c r="Z18">
        <f>(widthRefDoor-2*doors[[#This Row],[H_frame_out]])*doors[[#This Row],[H_betweenThresholdSash_out]]/1000000</f>
        <v>1.7100000000000001E-2</v>
      </c>
      <c r="AA18">
        <f>(widthRefDoor-2*doors[[#This Row],[H_frame_out]]-2*doors[[#This Row],[H_sash_out]])/1000</f>
        <v>0.75800000000000001</v>
      </c>
      <c r="AB18">
        <f>(heightRefDoor-800-doors[[#This Row],[H_mullion_out]]/2-doors[[#This Row],[H_frame_out]]-doors[[#This Row],[H_sash_out]])/1000</f>
        <v>1.169</v>
      </c>
      <c r="AC18" s="36">
        <f>(widthRefDoor-2*doors[[#This Row],[H_frame_out]]-2*doors[[#This Row],[H_sash_out]])/1000</f>
        <v>0.75800000000000001</v>
      </c>
      <c r="AD18" s="36">
        <f>(800-doors[[#This Row],[H_mullion_out]]/2-doors[[#This Row],[H_threshold_out]]-doors[[#This Row],[H_betweenThresholdSash_out]]-doors[[#This Row],[H_sash_out]])/1000</f>
        <v>0.62450000000000006</v>
      </c>
      <c r="AE18" s="36">
        <f>doors[[#This Row],[A_frame_left]]+doors[[#This Row],[A_sash_left]]+doors[[#This Row],[A_frame_right]]+doors[[#This Row],[A_sash_right]]+doors[[#This Row],[A_frame_top]]+doors[[#This Row],[A_sash_top]]</f>
        <v>0.85837800000000009</v>
      </c>
      <c r="AF18" s="36">
        <f>doors[[#This Row],[A_threshold]]+doors[[#This Row],[A_betweenThresholdSash]]+doors[[#This Row],[A_sash_bottom]]</f>
        <v>0.12273400000000001</v>
      </c>
      <c r="AG18" s="36">
        <f>doors[[#This Row],[Width_glass_top]]*doors[[#This Row],[Height_glass_top]]+doors[[#This Row],[Width_glass_bottom]]*doors[[#This Row],[Height_glass_bottom]]</f>
        <v>1.3594730000000002</v>
      </c>
      <c r="AH18" s="36">
        <f>(doors[[#This Row],[Width_glass_top]]+doors[[#This Row],[Height_glass_top]])*2+(doors[[#This Row],[Width_glass_bottom]]+doors[[#This Row],[Height_glass_bottom]])*2</f>
        <v>6.6189999999999998</v>
      </c>
    </row>
    <row r="19" spans="1:34" x14ac:dyDescent="0.25">
      <c r="A19" s="27" t="s">
        <v>158</v>
      </c>
      <c r="B19" s="8">
        <v>33</v>
      </c>
      <c r="C19" s="10">
        <v>34</v>
      </c>
      <c r="E19" t="s">
        <v>191</v>
      </c>
      <c r="G19" t="s">
        <v>189</v>
      </c>
      <c r="H19">
        <v>75</v>
      </c>
      <c r="I19">
        <v>78</v>
      </c>
      <c r="J19">
        <v>80</v>
      </c>
      <c r="K19">
        <v>21.5</v>
      </c>
      <c r="L19">
        <v>18</v>
      </c>
      <c r="M19">
        <v>1.4</v>
      </c>
      <c r="N19">
        <v>1.3</v>
      </c>
      <c r="O19">
        <v>2.1</v>
      </c>
      <c r="P19">
        <f>((2*heightRefDoor-doors[[#This Row],[H_frame_out]])*doors[[#This Row],[H_frame_out]]/2)/1000000</f>
        <v>0.16068750000000001</v>
      </c>
      <c r="Q19">
        <f>((2*heightRefDoor-doors[[#This Row],[H_frame_out]])*doors[[#This Row],[H_frame_out]]/2)/1000000</f>
        <v>0.16068750000000001</v>
      </c>
      <c r="R19">
        <f>(widthRefDoor-doors[[#This Row],[H_frame_out]])*doors[[#This Row],[H_frame_out]]/1000000</f>
        <v>7.6874999999999999E-2</v>
      </c>
      <c r="S19">
        <v>0</v>
      </c>
      <c r="T19">
        <f>(heightRefDoor-doors[[#This Row],[H_frame_out]]-doors[[#This Row],[H_threshold_out]]-doors[[#This Row],[H_betweenThresholdSash_out]]-doors[[#This Row],[H_sash_out]])*doors[[#This Row],[H_sash_out]]/1000000</f>
        <v>0.155025</v>
      </c>
      <c r="U19">
        <f>(heightRefDoor-doors[[#This Row],[H_frame_out]]-doors[[#This Row],[H_threshold_out]]-doors[[#This Row],[H_betweenThresholdSash_out]]-doors[[#This Row],[H_sash_out]])*doors[[#This Row],[H_sash_out]]/1000000</f>
        <v>0.155025</v>
      </c>
      <c r="V19">
        <f>(widthRefDoor-2*doors[[#This Row],[H_frame_out]]-doors[[#This Row],[H_sash_out]])*doors[[#This Row],[H_sash_out]]/1000000</f>
        <v>6.8015999999999993E-2</v>
      </c>
      <c r="W19">
        <f>(widthRefDoor-2*doors[[#This Row],[H_frame_out]]-doors[[#This Row],[H_sash_out]])*doors[[#This Row],[H_sash_out]]/1000000</f>
        <v>6.8015999999999993E-2</v>
      </c>
      <c r="X19">
        <f>(widthRefDoor-2*doors[[#This Row],[H_frame_out]]-2*doors[[#This Row],[H_sash_out]])*doors[[#This Row],[H_mullion_out]]/1000000</f>
        <v>6.3519999999999993E-2</v>
      </c>
      <c r="Y19">
        <f>widthRefDoor*doors[[#This Row],[H_threshold_out]]/1000000</f>
        <v>2.3650000000000001E-2</v>
      </c>
      <c r="Z19">
        <f>(widthRefDoor-2*doors[[#This Row],[H_frame_out]])*doors[[#This Row],[H_betweenThresholdSash_out]]/1000000</f>
        <v>1.7100000000000001E-2</v>
      </c>
      <c r="AA19">
        <f>(widthRefDoor-2*doors[[#This Row],[H_frame_out]]-2*doors[[#This Row],[H_sash_out]])/1000</f>
        <v>0.79400000000000004</v>
      </c>
      <c r="AB19">
        <f>(heightRefDoor-800-doors[[#This Row],[H_mullion_out]]/2-doors[[#This Row],[H_frame_out]]-doors[[#This Row],[H_sash_out]])/1000</f>
        <v>1.1870000000000001</v>
      </c>
      <c r="AC19" s="36">
        <f>(widthRefDoor-2*doors[[#This Row],[H_frame_out]]-2*doors[[#This Row],[H_sash_out]])/1000</f>
        <v>0.79400000000000004</v>
      </c>
      <c r="AD19" s="36">
        <f>(800-doors[[#This Row],[H_mullion_out]]/2-doors[[#This Row],[H_threshold_out]]-doors[[#This Row],[H_betweenThresholdSash_out]]-doors[[#This Row],[H_sash_out]])/1000</f>
        <v>0.64249999999999996</v>
      </c>
      <c r="AE19" s="36">
        <f>doors[[#This Row],[A_frame_left]]+doors[[#This Row],[A_sash_left]]+doors[[#This Row],[A_frame_right]]+doors[[#This Row],[A_sash_right]]+doors[[#This Row],[A_frame_top]]+doors[[#This Row],[A_sash_top]]</f>
        <v>0.77631600000000001</v>
      </c>
      <c r="AF19" s="36">
        <f>doors[[#This Row],[A_threshold]]+doors[[#This Row],[A_betweenThresholdSash]]+doors[[#This Row],[A_sash_bottom]]</f>
        <v>0.108766</v>
      </c>
      <c r="AG19" s="36">
        <f>doors[[#This Row],[Width_glass_top]]*doors[[#This Row],[Height_glass_top]]+doors[[#This Row],[Width_glass_bottom]]*doors[[#This Row],[Height_glass_bottom]]</f>
        <v>1.452623</v>
      </c>
      <c r="AH19" s="36">
        <f>(doors[[#This Row],[Width_glass_top]]+doors[[#This Row],[Height_glass_top]])*2+(doors[[#This Row],[Width_glass_bottom]]+doors[[#This Row],[Height_glass_bottom]])*2</f>
        <v>6.8350000000000009</v>
      </c>
    </row>
    <row r="20" spans="1:34" x14ac:dyDescent="0.25">
      <c r="A20" s="27" t="s">
        <v>168</v>
      </c>
      <c r="B20" s="8">
        <v>34</v>
      </c>
      <c r="C20" s="10">
        <v>35</v>
      </c>
      <c r="G20" t="s">
        <v>190</v>
      </c>
      <c r="H20">
        <v>75</v>
      </c>
      <c r="I20">
        <v>86</v>
      </c>
      <c r="J20">
        <v>80</v>
      </c>
      <c r="K20">
        <v>21.5</v>
      </c>
      <c r="L20">
        <v>18</v>
      </c>
      <c r="M20">
        <v>1.3</v>
      </c>
      <c r="N20">
        <v>1.3</v>
      </c>
      <c r="O20">
        <v>1.7</v>
      </c>
      <c r="P20">
        <f>((2*heightRefDoor-doors[[#This Row],[H_frame_out]])*doors[[#This Row],[H_frame_out]]/2)/1000000</f>
        <v>0.16068750000000001</v>
      </c>
      <c r="Q20">
        <f>((2*heightRefDoor-doors[[#This Row],[H_frame_out]])*doors[[#This Row],[H_frame_out]]/2)/1000000</f>
        <v>0.16068750000000001</v>
      </c>
      <c r="R20">
        <f>(widthRefDoor-doors[[#This Row],[H_frame_out]])*doors[[#This Row],[H_frame_out]]/1000000</f>
        <v>7.6874999999999999E-2</v>
      </c>
      <c r="S20">
        <v>0</v>
      </c>
      <c r="T20">
        <f>(heightRefDoor-doors[[#This Row],[H_frame_out]]-doors[[#This Row],[H_threshold_out]]-doors[[#This Row],[H_betweenThresholdSash_out]]-doors[[#This Row],[H_sash_out]])*doors[[#This Row],[H_sash_out]]/1000000</f>
        <v>0.170237</v>
      </c>
      <c r="U20">
        <f>(heightRefDoor-doors[[#This Row],[H_frame_out]]-doors[[#This Row],[H_threshold_out]]-doors[[#This Row],[H_betweenThresholdSash_out]]-doors[[#This Row],[H_sash_out]])*doors[[#This Row],[H_sash_out]]/1000000</f>
        <v>0.170237</v>
      </c>
      <c r="V20">
        <f>(widthRefDoor-2*doors[[#This Row],[H_frame_out]]-doors[[#This Row],[H_sash_out]])*doors[[#This Row],[H_sash_out]]/1000000</f>
        <v>7.4303999999999995E-2</v>
      </c>
      <c r="W20">
        <f>(widthRefDoor-2*doors[[#This Row],[H_frame_out]]-doors[[#This Row],[H_sash_out]])*doors[[#This Row],[H_sash_out]]/1000000</f>
        <v>7.4303999999999995E-2</v>
      </c>
      <c r="X20">
        <f>(widthRefDoor-2*doors[[#This Row],[H_frame_out]]-2*doors[[#This Row],[H_sash_out]])*doors[[#This Row],[H_mullion_out]]/1000000</f>
        <v>6.2239999999999997E-2</v>
      </c>
      <c r="Y20">
        <f>widthRefDoor*doors[[#This Row],[H_threshold_out]]/1000000</f>
        <v>2.3650000000000001E-2</v>
      </c>
      <c r="Z20">
        <f>(widthRefDoor-2*doors[[#This Row],[H_frame_out]])*doors[[#This Row],[H_betweenThresholdSash_out]]/1000000</f>
        <v>1.7100000000000001E-2</v>
      </c>
      <c r="AA20">
        <f>(widthRefDoor-2*doors[[#This Row],[H_frame_out]]-2*doors[[#This Row],[H_sash_out]])/1000</f>
        <v>0.77800000000000002</v>
      </c>
      <c r="AB20">
        <f>(heightRefDoor-800-doors[[#This Row],[H_mullion_out]]/2-doors[[#This Row],[H_frame_out]]-doors[[#This Row],[H_sash_out]])/1000</f>
        <v>1.179</v>
      </c>
      <c r="AC20" s="36">
        <f>(widthRefDoor-2*doors[[#This Row],[H_frame_out]]-2*doors[[#This Row],[H_sash_out]])/1000</f>
        <v>0.77800000000000002</v>
      </c>
      <c r="AD20" s="36">
        <f>(800-doors[[#This Row],[H_mullion_out]]/2-doors[[#This Row],[H_threshold_out]]-doors[[#This Row],[H_betweenThresholdSash_out]]-doors[[#This Row],[H_sash_out]])/1000</f>
        <v>0.63449999999999995</v>
      </c>
      <c r="AE20" s="36">
        <f>doors[[#This Row],[A_frame_left]]+doors[[#This Row],[A_sash_left]]+doors[[#This Row],[A_frame_right]]+doors[[#This Row],[A_sash_right]]+doors[[#This Row],[A_frame_top]]+doors[[#This Row],[A_sash_top]]</f>
        <v>0.81302800000000008</v>
      </c>
      <c r="AF20" s="36">
        <f>doors[[#This Row],[A_threshold]]+doors[[#This Row],[A_betweenThresholdSash]]+doors[[#This Row],[A_sash_bottom]]</f>
        <v>0.11505399999999999</v>
      </c>
      <c r="AG20" s="36">
        <f>doors[[#This Row],[Width_glass_top]]*doors[[#This Row],[Height_glass_top]]+doors[[#This Row],[Width_glass_bottom]]*doors[[#This Row],[Height_glass_bottom]]</f>
        <v>1.410903</v>
      </c>
      <c r="AH20" s="36">
        <f>(doors[[#This Row],[Width_glass_top]]+doors[[#This Row],[Height_glass_top]])*2+(doors[[#This Row],[Width_glass_bottom]]+doors[[#This Row],[Height_glass_bottom]])*2</f>
        <v>6.7390000000000008</v>
      </c>
    </row>
    <row r="21" spans="1:34" x14ac:dyDescent="0.25">
      <c r="A21" s="27" t="s">
        <v>169</v>
      </c>
      <c r="B21" s="8">
        <v>35</v>
      </c>
      <c r="C21" s="10">
        <v>35</v>
      </c>
      <c r="G21" t="s">
        <v>191</v>
      </c>
      <c r="H21">
        <v>62</v>
      </c>
      <c r="I21">
        <v>48</v>
      </c>
      <c r="J21">
        <v>80</v>
      </c>
      <c r="K21">
        <v>21.5</v>
      </c>
      <c r="L21">
        <v>18</v>
      </c>
      <c r="M21">
        <v>1.3</v>
      </c>
      <c r="N21">
        <v>1.3</v>
      </c>
      <c r="O21">
        <v>1.7</v>
      </c>
      <c r="P21" s="36">
        <f>((2*heightRefDoor-doors[[#This Row],[H_frame_out]])*doors[[#This Row],[H_frame_out]]/2)/1000000</f>
        <v>0.133238</v>
      </c>
      <c r="Q21">
        <f>((2*heightRefDoor-doors[[#This Row],[H_frame_out]])*doors[[#This Row],[H_frame_out]]/2)/1000000</f>
        <v>0.133238</v>
      </c>
      <c r="R21">
        <f>(widthRefDoor-doors[[#This Row],[H_frame_out]])*doors[[#This Row],[H_frame_out]]/1000000</f>
        <v>6.4355999999999997E-2</v>
      </c>
      <c r="S21">
        <v>0</v>
      </c>
      <c r="T21">
        <f>(heightRefDoor-doors[[#This Row],[H_frame_out]]-doors[[#This Row],[H_threshold_out]]-doors[[#This Row],[H_betweenThresholdSash_out]]-doors[[#This Row],[H_sash_out]])*doors[[#This Row],[H_sash_out]]/1000000</f>
        <v>9.7463999999999995E-2</v>
      </c>
      <c r="U21">
        <f>(heightRefDoor-doors[[#This Row],[H_frame_out]]-doors[[#This Row],[H_threshold_out]]-doors[[#This Row],[H_betweenThresholdSash_out]]-doors[[#This Row],[H_sash_out]])*doors[[#This Row],[H_sash_out]]/1000000</f>
        <v>9.7463999999999995E-2</v>
      </c>
      <c r="V21">
        <f>(widthRefDoor-2*doors[[#This Row],[H_frame_out]]-doors[[#This Row],[H_sash_out]])*doors[[#This Row],[H_sash_out]]/1000000</f>
        <v>4.4544E-2</v>
      </c>
      <c r="W21">
        <f>(widthRefDoor-2*doors[[#This Row],[H_frame_out]]-doors[[#This Row],[H_sash_out]])*doors[[#This Row],[H_sash_out]]/1000000</f>
        <v>4.4544E-2</v>
      </c>
      <c r="X21">
        <f>(widthRefDoor-2*doors[[#This Row],[H_frame_out]]-2*doors[[#This Row],[H_sash_out]])*doors[[#This Row],[H_mullion_out]]/1000000</f>
        <v>7.0400000000000004E-2</v>
      </c>
      <c r="Y21">
        <f>widthRefDoor*doors[[#This Row],[H_threshold_out]]/1000000</f>
        <v>2.3650000000000001E-2</v>
      </c>
      <c r="Z21">
        <f>(widthRefDoor-2*doors[[#This Row],[H_frame_out]])*doors[[#This Row],[H_betweenThresholdSash_out]]/1000000</f>
        <v>1.7568E-2</v>
      </c>
      <c r="AA21">
        <f>(widthRefDoor-2*doors[[#This Row],[H_frame_out]]-2*doors[[#This Row],[H_sash_out]])/1000</f>
        <v>0.88</v>
      </c>
      <c r="AB21">
        <f>(heightRefDoor-800-doors[[#This Row],[H_mullion_out]]/2-doors[[#This Row],[H_frame_out]]-doors[[#This Row],[H_sash_out]])/1000</f>
        <v>1.23</v>
      </c>
      <c r="AC21" s="36">
        <f>(widthRefDoor-2*doors[[#This Row],[H_frame_out]]-2*doors[[#This Row],[H_sash_out]])/1000</f>
        <v>0.88</v>
      </c>
      <c r="AD21" s="36">
        <f>(800-doors[[#This Row],[H_mullion_out]]/2-doors[[#This Row],[H_threshold_out]]-doors[[#This Row],[H_betweenThresholdSash_out]]-doors[[#This Row],[H_sash_out]])/1000</f>
        <v>0.67249999999999999</v>
      </c>
      <c r="AE21" s="36">
        <f>doors[[#This Row],[A_frame_left]]+doors[[#This Row],[A_sash_left]]+doors[[#This Row],[A_frame_right]]+doors[[#This Row],[A_sash_right]]+doors[[#This Row],[A_frame_top]]+doors[[#This Row],[A_sash_top]]</f>
        <v>0.57030400000000003</v>
      </c>
      <c r="AF21" s="36">
        <f>doors[[#This Row],[A_threshold]]+doors[[#This Row],[A_betweenThresholdSash]]+doors[[#This Row],[A_sash_bottom]]</f>
        <v>8.5762000000000005E-2</v>
      </c>
      <c r="AG21" s="36">
        <f>doors[[#This Row],[Width_glass_top]]*doors[[#This Row],[Height_glass_top]]+doors[[#This Row],[Width_glass_bottom]]*doors[[#This Row],[Height_glass_bottom]]</f>
        <v>1.6741999999999999</v>
      </c>
      <c r="AH21" s="36">
        <f>(doors[[#This Row],[Width_glass_top]]+doors[[#This Row],[Height_glass_top]])*2+(doors[[#This Row],[Width_glass_bottom]]+doors[[#This Row],[Height_glass_bottom]])*2</f>
        <v>7.3249999999999993</v>
      </c>
    </row>
    <row r="22" spans="1:34" x14ac:dyDescent="0.25">
      <c r="B22" s="8">
        <v>36</v>
      </c>
      <c r="C22" s="10">
        <v>36</v>
      </c>
    </row>
    <row r="23" spans="1:34" x14ac:dyDescent="0.25">
      <c r="B23" s="8">
        <v>37</v>
      </c>
      <c r="C23" s="10">
        <v>36</v>
      </c>
      <c r="G23">
        <v>1</v>
      </c>
      <c r="H23">
        <v>2</v>
      </c>
      <c r="I23">
        <v>3</v>
      </c>
      <c r="J23">
        <v>4</v>
      </c>
      <c r="K23">
        <v>5</v>
      </c>
      <c r="L23">
        <v>6</v>
      </c>
      <c r="M23">
        <v>7</v>
      </c>
      <c r="N23">
        <v>8</v>
      </c>
      <c r="O23">
        <v>9</v>
      </c>
      <c r="P23">
        <v>10</v>
      </c>
      <c r="Q23">
        <v>11</v>
      </c>
      <c r="R23">
        <v>12</v>
      </c>
      <c r="S23">
        <v>13</v>
      </c>
      <c r="T23">
        <v>14</v>
      </c>
      <c r="U23">
        <v>15</v>
      </c>
      <c r="V23">
        <v>16</v>
      </c>
      <c r="W23">
        <v>17</v>
      </c>
      <c r="X23">
        <v>18</v>
      </c>
      <c r="Y23">
        <v>19</v>
      </c>
      <c r="Z23">
        <v>20</v>
      </c>
      <c r="AA23">
        <v>21</v>
      </c>
      <c r="AB23">
        <v>22</v>
      </c>
      <c r="AC23">
        <v>23</v>
      </c>
      <c r="AD23">
        <v>24</v>
      </c>
      <c r="AE23">
        <v>25</v>
      </c>
      <c r="AF23">
        <v>26</v>
      </c>
      <c r="AG23">
        <v>27</v>
      </c>
      <c r="AH23">
        <v>28</v>
      </c>
    </row>
    <row r="24" spans="1:34" x14ac:dyDescent="0.25">
      <c r="B24" s="8">
        <v>38</v>
      </c>
      <c r="C24" s="10">
        <v>37</v>
      </c>
    </row>
    <row r="25" spans="1:34" x14ac:dyDescent="0.25">
      <c r="B25" s="8">
        <v>39</v>
      </c>
      <c r="C25" s="10">
        <v>37</v>
      </c>
    </row>
    <row r="26" spans="1:34" x14ac:dyDescent="0.25">
      <c r="B26" s="8">
        <v>40</v>
      </c>
      <c r="C26" s="10">
        <v>38</v>
      </c>
    </row>
    <row r="28" spans="1:34" x14ac:dyDescent="0.25">
      <c r="B28" s="9" t="s">
        <v>92</v>
      </c>
      <c r="C28" s="10" t="s">
        <v>93</v>
      </c>
    </row>
    <row r="29" spans="1:34" x14ac:dyDescent="0.25">
      <c r="B29" s="8">
        <v>24</v>
      </c>
      <c r="C29" s="10">
        <v>26</v>
      </c>
    </row>
    <row r="30" spans="1:34" x14ac:dyDescent="0.25">
      <c r="B30" s="8">
        <v>25</v>
      </c>
      <c r="C30" s="10">
        <v>27</v>
      </c>
    </row>
    <row r="31" spans="1:34" x14ac:dyDescent="0.25">
      <c r="B31" s="8">
        <v>26</v>
      </c>
      <c r="C31" s="10">
        <v>28</v>
      </c>
    </row>
    <row r="32" spans="1:34" x14ac:dyDescent="0.25">
      <c r="B32" s="8">
        <v>27</v>
      </c>
      <c r="C32" s="10">
        <v>29</v>
      </c>
    </row>
    <row r="33" spans="2:3" x14ac:dyDescent="0.25">
      <c r="B33" s="8">
        <v>28</v>
      </c>
      <c r="C33" s="10">
        <v>30</v>
      </c>
    </row>
    <row r="34" spans="2:3" x14ac:dyDescent="0.25">
      <c r="B34" s="8">
        <v>29</v>
      </c>
      <c r="C34" s="13">
        <v>30</v>
      </c>
    </row>
    <row r="35" spans="2:3" x14ac:dyDescent="0.25">
      <c r="B35" s="8">
        <v>30</v>
      </c>
      <c r="C35" s="10">
        <v>31</v>
      </c>
    </row>
    <row r="36" spans="2:3" x14ac:dyDescent="0.25">
      <c r="B36" s="8">
        <v>31</v>
      </c>
      <c r="C36" s="10">
        <v>31</v>
      </c>
    </row>
    <row r="37" spans="2:3" x14ac:dyDescent="0.25">
      <c r="B37" s="8">
        <v>32</v>
      </c>
      <c r="C37" s="10">
        <v>32</v>
      </c>
    </row>
    <row r="38" spans="2:3" x14ac:dyDescent="0.25">
      <c r="B38" s="8">
        <v>33</v>
      </c>
      <c r="C38" s="10">
        <v>32</v>
      </c>
    </row>
    <row r="39" spans="2:3" x14ac:dyDescent="0.25">
      <c r="B39" s="8">
        <v>34</v>
      </c>
      <c r="C39" s="10">
        <v>33</v>
      </c>
    </row>
    <row r="40" spans="2:3" x14ac:dyDescent="0.25">
      <c r="B40" s="8">
        <v>35</v>
      </c>
      <c r="C40" s="10">
        <v>33</v>
      </c>
    </row>
    <row r="41" spans="2:3" x14ac:dyDescent="0.25">
      <c r="B41" s="8">
        <v>36</v>
      </c>
      <c r="C41" s="10">
        <v>34</v>
      </c>
    </row>
  </sheetData>
  <sheetProtection password="EA15" sheet="1" objects="1" scenarios="1"/>
  <phoneticPr fontId="10" type="noConversion"/>
  <hyperlinks>
    <hyperlink ref="A13" r:id="rId1" xr:uid="{456804A3-0C7E-4AAD-B8F3-97BC62281F8A}"/>
    <hyperlink ref="A5" r:id="rId2" display="Uw - коеф. теплопередачі вікна - методика розрахунку ДСТУ EN ISO 10077-1" xr:uid="{FB63E22F-983D-4152-9244-FDFA71C6C744}"/>
    <hyperlink ref="A15" r:id="rId3" xr:uid="{C2BEE692-D866-4BCB-8D3F-26078A7601C0}"/>
    <hyperlink ref="A1" r:id="rId4" display="Відповідно до ДСТУ EN 14351-1 (таблиця E):" xr:uid="{693FE212-ABE9-41AD-BF58-E8EF43B1A99F}"/>
    <hyperlink ref="A14" r:id="rId5" xr:uid="{EBBE7A2B-634D-476F-9ABC-58BF12BC9550}"/>
    <hyperlink ref="A12" r:id="rId6" xr:uid="{48963C68-D01E-4ED9-864D-C0C5A1C8D22D}"/>
    <hyperlink ref="A11" r:id="rId7" xr:uid="{6A0AEAAD-50E6-48B1-B915-E66EE0C343E4}"/>
    <hyperlink ref="A18" r:id="rId8" xr:uid="{196AA803-8966-40A6-90AF-730E48CA3652}"/>
  </hyperlinks>
  <pageMargins left="0.7" right="0.7" top="0.75" bottom="0.75" header="0.3" footer="0.3"/>
  <pageSetup paperSize="9" orientation="portrait" r:id="rId9"/>
  <tableParts count="5">
    <tablePart r:id="rId10"/>
    <tablePart r:id="rId11"/>
    <tablePart r:id="rId12"/>
    <tablePart r:id="rId13"/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zoomScaleNormal="100" workbookViewId="0">
      <selection activeCell="F44" sqref="F44"/>
    </sheetView>
  </sheetViews>
  <sheetFormatPr defaultRowHeight="15" x14ac:dyDescent="0.25"/>
  <cols>
    <col min="1" max="1" width="30" bestFit="1" customWidth="1"/>
    <col min="2" max="2" width="9.7109375" customWidth="1"/>
    <col min="3" max="3" width="53.7109375" customWidth="1"/>
    <col min="4" max="4" width="12.7109375" customWidth="1"/>
    <col min="5" max="5" width="9.7109375" customWidth="1"/>
    <col min="6" max="6" width="7.7109375" bestFit="1" customWidth="1"/>
    <col min="7" max="7" width="12.7109375" customWidth="1"/>
    <col min="8" max="8" width="9.7109375" customWidth="1"/>
  </cols>
  <sheetData>
    <row r="1" spans="1:6" ht="15.75" thickBot="1" x14ac:dyDescent="0.3"/>
    <row r="2" spans="1:6" x14ac:dyDescent="0.25">
      <c r="A2" s="16" t="s">
        <v>99</v>
      </c>
      <c r="B2" s="17">
        <v>0.55200000000000005</v>
      </c>
      <c r="C2" s="53" t="s">
        <v>128</v>
      </c>
      <c r="E2" s="14" t="s">
        <v>94</v>
      </c>
      <c r="F2" s="15">
        <f>(Area_FrameSash*U_FrameSash+Area_ThresholdSash*U_ThresholdSash+Area_Frame*U_Frame+Area_Mullion*U_Mullion+Area_SashMullion*U_SashMullion+Area_SashMullionSash*U_SashMullionSash+Area_SashMoveableMullionSash*U_SashMoveableMullionSash+Area_Glass_1*U_Glass_1+Area_Glass_2*U_Glass_2+Area_Glass_3*U_Glass_3+Length_Glass_1*Psi_Glass_1+Length_Glass_2*Psi_Glass_2+Length_Glass_3*Psi_Glass_3+Area_Panel_1*U_Panel_1+Area_Panel_2*U_Panel_2+Area_Panel_3*U_Panel_3)/(Area_FrameSash+Area_ThresholdSash+Area_Frame+Area_Mullion+Area_SashMullion+Area_SashMullionSash+Area_SashMoveableMullionSash+Area_Glass_1+Area_Glass_2+Area_Glass_3+Area_Panel_1+Area_Panel_2+Area_Panel_3)</f>
        <v>1.2059780219780221</v>
      </c>
    </row>
    <row r="3" spans="1:6" ht="15.75" thickBot="1" x14ac:dyDescent="0.3">
      <c r="A3" s="18" t="s">
        <v>112</v>
      </c>
      <c r="B3" s="19">
        <v>1.6</v>
      </c>
      <c r="C3" s="54"/>
      <c r="E3" s="14" t="s">
        <v>95</v>
      </c>
      <c r="F3" s="15">
        <f>1/Uwindow</f>
        <v>0.82920250765417691</v>
      </c>
    </row>
    <row r="4" spans="1:6" hidden="1" x14ac:dyDescent="0.25">
      <c r="A4" s="16" t="s">
        <v>100</v>
      </c>
      <c r="B4" s="17"/>
      <c r="C4" s="54"/>
    </row>
    <row r="5" spans="1:6" ht="15.75" hidden="1" thickBot="1" x14ac:dyDescent="0.3">
      <c r="A5" s="18" t="s">
        <v>113</v>
      </c>
      <c r="B5" s="19"/>
      <c r="C5" s="54"/>
    </row>
    <row r="6" spans="1:6" hidden="1" x14ac:dyDescent="0.25">
      <c r="A6" s="16" t="s">
        <v>101</v>
      </c>
      <c r="B6" s="17"/>
      <c r="C6" s="54"/>
    </row>
    <row r="7" spans="1:6" ht="15.75" hidden="1" thickBot="1" x14ac:dyDescent="0.3">
      <c r="A7" s="18" t="s">
        <v>114</v>
      </c>
      <c r="B7" s="19"/>
      <c r="C7" s="54"/>
    </row>
    <row r="8" spans="1:6" hidden="1" x14ac:dyDescent="0.25">
      <c r="A8" s="16" t="s">
        <v>102</v>
      </c>
      <c r="B8" s="17"/>
      <c r="C8" s="54"/>
    </row>
    <row r="9" spans="1:6" ht="15.75" hidden="1" thickBot="1" x14ac:dyDescent="0.3">
      <c r="A9" s="18" t="s">
        <v>115</v>
      </c>
      <c r="B9" s="19"/>
      <c r="C9" s="54"/>
    </row>
    <row r="10" spans="1:6" hidden="1" x14ac:dyDescent="0.25">
      <c r="A10" s="16" t="s">
        <v>98</v>
      </c>
      <c r="B10" s="17"/>
      <c r="C10" s="54"/>
    </row>
    <row r="11" spans="1:6" ht="15.75" hidden="1" thickBot="1" x14ac:dyDescent="0.3">
      <c r="A11" s="18" t="s">
        <v>116</v>
      </c>
      <c r="B11" s="19"/>
      <c r="C11" s="54"/>
    </row>
    <row r="12" spans="1:6" hidden="1" x14ac:dyDescent="0.25">
      <c r="A12" s="16" t="s">
        <v>96</v>
      </c>
      <c r="B12" s="17"/>
      <c r="C12" s="54"/>
    </row>
    <row r="13" spans="1:6" ht="15.75" hidden="1" thickBot="1" x14ac:dyDescent="0.3">
      <c r="A13" s="18" t="s">
        <v>117</v>
      </c>
      <c r="B13" s="19"/>
      <c r="C13" s="54"/>
    </row>
    <row r="14" spans="1:6" hidden="1" x14ac:dyDescent="0.25">
      <c r="A14" s="16" t="s">
        <v>97</v>
      </c>
      <c r="B14" s="17"/>
      <c r="C14" s="54"/>
    </row>
    <row r="15" spans="1:6" ht="15.75" hidden="1" thickBot="1" x14ac:dyDescent="0.3">
      <c r="A15" s="18" t="s">
        <v>118</v>
      </c>
      <c r="B15" s="19"/>
      <c r="C15" s="55"/>
    </row>
    <row r="16" spans="1:6" ht="15.75" thickBot="1" x14ac:dyDescent="0.3"/>
    <row r="17" spans="1:3" x14ac:dyDescent="0.25">
      <c r="A17" s="16" t="s">
        <v>103</v>
      </c>
      <c r="B17" s="17">
        <v>1.268</v>
      </c>
      <c r="C17" s="53" t="s">
        <v>129</v>
      </c>
    </row>
    <row r="18" spans="1:3" ht="15.75" thickBot="1" x14ac:dyDescent="0.3">
      <c r="A18" s="18" t="s">
        <v>120</v>
      </c>
      <c r="B18" s="19">
        <v>0.82</v>
      </c>
      <c r="C18" s="54"/>
    </row>
    <row r="19" spans="1:3" hidden="1" x14ac:dyDescent="0.25">
      <c r="A19" s="16" t="s">
        <v>105</v>
      </c>
      <c r="B19" s="17"/>
      <c r="C19" s="54"/>
    </row>
    <row r="20" spans="1:3" ht="15.75" hidden="1" thickBot="1" x14ac:dyDescent="0.3">
      <c r="A20" s="18" t="s">
        <v>122</v>
      </c>
      <c r="B20" s="19"/>
      <c r="C20" s="54"/>
    </row>
    <row r="21" spans="1:3" hidden="1" x14ac:dyDescent="0.25">
      <c r="A21" s="16" t="s">
        <v>107</v>
      </c>
      <c r="B21" s="17"/>
      <c r="C21" s="54"/>
    </row>
    <row r="22" spans="1:3" ht="15.75" hidden="1" thickBot="1" x14ac:dyDescent="0.3">
      <c r="A22" s="18" t="s">
        <v>123</v>
      </c>
      <c r="B22" s="19"/>
      <c r="C22" s="55"/>
    </row>
    <row r="23" spans="1:3" ht="15.75" thickBot="1" x14ac:dyDescent="0.3"/>
    <row r="24" spans="1:3" x14ac:dyDescent="0.25">
      <c r="A24" s="16" t="s">
        <v>104</v>
      </c>
      <c r="B24" s="17">
        <v>4.532</v>
      </c>
      <c r="C24" s="53" t="s">
        <v>130</v>
      </c>
    </row>
    <row r="25" spans="1:3" ht="15.75" thickBot="1" x14ac:dyDescent="0.3">
      <c r="A25" s="18" t="s">
        <v>121</v>
      </c>
      <c r="B25" s="19">
        <v>0.06</v>
      </c>
      <c r="C25" s="54"/>
    </row>
    <row r="26" spans="1:3" hidden="1" x14ac:dyDescent="0.25">
      <c r="A26" s="16" t="s">
        <v>106</v>
      </c>
      <c r="B26" s="17"/>
      <c r="C26" s="54"/>
    </row>
    <row r="27" spans="1:3" ht="15.75" hidden="1" thickBot="1" x14ac:dyDescent="0.3">
      <c r="A27" s="18" t="s">
        <v>126</v>
      </c>
      <c r="B27" s="19"/>
      <c r="C27" s="54"/>
    </row>
    <row r="28" spans="1:3" hidden="1" x14ac:dyDescent="0.25">
      <c r="A28" s="16" t="s">
        <v>108</v>
      </c>
      <c r="B28" s="17"/>
      <c r="C28" s="54"/>
    </row>
    <row r="29" spans="1:3" ht="15.75" hidden="1" thickBot="1" x14ac:dyDescent="0.3">
      <c r="A29" s="18" t="s">
        <v>127</v>
      </c>
      <c r="B29" s="19"/>
      <c r="C29" s="55"/>
    </row>
    <row r="31" spans="1:3" hidden="1" x14ac:dyDescent="0.25">
      <c r="A31" s="16" t="s">
        <v>109</v>
      </c>
      <c r="B31" s="17"/>
      <c r="C31" s="53" t="s">
        <v>131</v>
      </c>
    </row>
    <row r="32" spans="1:3" ht="15.75" hidden="1" thickBot="1" x14ac:dyDescent="0.3">
      <c r="A32" s="18" t="s">
        <v>119</v>
      </c>
      <c r="B32" s="19"/>
      <c r="C32" s="54"/>
    </row>
    <row r="33" spans="1:3" hidden="1" x14ac:dyDescent="0.25">
      <c r="A33" s="16" t="s">
        <v>110</v>
      </c>
      <c r="B33" s="17"/>
      <c r="C33" s="54"/>
    </row>
    <row r="34" spans="1:3" ht="15.75" hidden="1" thickBot="1" x14ac:dyDescent="0.3">
      <c r="A34" s="18" t="s">
        <v>124</v>
      </c>
      <c r="B34" s="19"/>
      <c r="C34" s="54"/>
    </row>
    <row r="35" spans="1:3" hidden="1" x14ac:dyDescent="0.25">
      <c r="A35" s="16" t="s">
        <v>111</v>
      </c>
      <c r="B35" s="17"/>
      <c r="C35" s="54"/>
    </row>
    <row r="36" spans="1:3" ht="15.75" hidden="1" thickBot="1" x14ac:dyDescent="0.3">
      <c r="A36" s="18" t="s">
        <v>125</v>
      </c>
      <c r="B36" s="19"/>
      <c r="C36" s="55"/>
    </row>
  </sheetData>
  <mergeCells count="4">
    <mergeCell ref="C2:C15"/>
    <mergeCell ref="C17:C22"/>
    <mergeCell ref="C24:C29"/>
    <mergeCell ref="C31:C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59</vt:i4>
      </vt:variant>
    </vt:vector>
  </HeadingPairs>
  <TitlesOfParts>
    <vt:vector size="62" baseType="lpstr">
      <vt:lpstr>U Reference 2023</vt:lpstr>
      <vt:lpstr>Data</vt:lpstr>
      <vt:lpstr>Uw manually</vt:lpstr>
      <vt:lpstr>Area_Frame</vt:lpstr>
      <vt:lpstr>Area_FrameSash</vt:lpstr>
      <vt:lpstr>Area_Glass_1</vt:lpstr>
      <vt:lpstr>Area_Glass_2</vt:lpstr>
      <vt:lpstr>Area_Glass_3</vt:lpstr>
      <vt:lpstr>Area_Mullion</vt:lpstr>
      <vt:lpstr>Area_Panel_1</vt:lpstr>
      <vt:lpstr>Area_Panel_2</vt:lpstr>
      <vt:lpstr>Area_Panel_3</vt:lpstr>
      <vt:lpstr>Area_SashMoveableMullionSash</vt:lpstr>
      <vt:lpstr>Area_SashMullion</vt:lpstr>
      <vt:lpstr>Area_SashMullionSash</vt:lpstr>
      <vt:lpstr>Area_ThresholdSash</vt:lpstr>
      <vt:lpstr>areaIGU</vt:lpstr>
      <vt:lpstr>areaWindow</vt:lpstr>
      <vt:lpstr>heightRefDoor</vt:lpstr>
      <vt:lpstr>heightRefWindow</vt:lpstr>
      <vt:lpstr>Length_Glass_1</vt:lpstr>
      <vt:lpstr>Length_Glass_2</vt:lpstr>
      <vt:lpstr>Length_Glass_3</vt:lpstr>
      <vt:lpstr>main_Area_frameSash</vt:lpstr>
      <vt:lpstr>main_Area_glass</vt:lpstr>
      <vt:lpstr>main_Area_mullion</vt:lpstr>
      <vt:lpstr>main_Area_thresholdSash</vt:lpstr>
      <vt:lpstr>main_Length_glass</vt:lpstr>
      <vt:lpstr>main_U_frameSash</vt:lpstr>
      <vt:lpstr>main_U_mullion</vt:lpstr>
      <vt:lpstr>main_U_thresholdSash</vt:lpstr>
      <vt:lpstr>psi_Al_coated_1k</vt:lpstr>
      <vt:lpstr>psi_Al_coated_2k</vt:lpstr>
      <vt:lpstr>psi_Al_uncoated_1k</vt:lpstr>
      <vt:lpstr>psi_Al_uncoated_2k</vt:lpstr>
      <vt:lpstr>Psi_Glass_1</vt:lpstr>
      <vt:lpstr>Psi_Glass_2</vt:lpstr>
      <vt:lpstr>Psi_Glass_3</vt:lpstr>
      <vt:lpstr>psi_swisspacer_ultimate_1k</vt:lpstr>
      <vt:lpstr>psi_swisspacer_ultimate_2k</vt:lpstr>
      <vt:lpstr>Rframe</vt:lpstr>
      <vt:lpstr>Rglass</vt:lpstr>
      <vt:lpstr>Rpanel</vt:lpstr>
      <vt:lpstr>Rwindow</vt:lpstr>
      <vt:lpstr>RwindowFormula</vt:lpstr>
      <vt:lpstr>system_selection</vt:lpstr>
      <vt:lpstr>U_Frame</vt:lpstr>
      <vt:lpstr>U_FrameSash</vt:lpstr>
      <vt:lpstr>U_Glass_1</vt:lpstr>
      <vt:lpstr>U_Glass_2</vt:lpstr>
      <vt:lpstr>U_Glass_3</vt:lpstr>
      <vt:lpstr>U_Mullion</vt:lpstr>
      <vt:lpstr>U_Panel_1</vt:lpstr>
      <vt:lpstr>U_Panel_2</vt:lpstr>
      <vt:lpstr>U_Panel_3</vt:lpstr>
      <vt:lpstr>U_SashMoveableMullionSash</vt:lpstr>
      <vt:lpstr>U_SashMullion</vt:lpstr>
      <vt:lpstr>U_SashMullionSash</vt:lpstr>
      <vt:lpstr>U_ThresholdSash</vt:lpstr>
      <vt:lpstr>Uwindow</vt:lpstr>
      <vt:lpstr>widthRefDoor</vt:lpstr>
      <vt:lpstr>widthRefWindow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Yuriy Nechaevskiy</dc:creator>
  <cp:lastModifiedBy>Yuriy Nechaevskiy</cp:lastModifiedBy>
  <dcterms:created xsi:type="dcterms:W3CDTF">2022-01-28T07:03:17Z</dcterms:created>
  <dcterms:modified xsi:type="dcterms:W3CDTF">2024-02-26T07:34:36Z</dcterms:modified>
</cp:coreProperties>
</file>